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xr:revisionPtr revIDLastSave="0" documentId="8_{7F098656-DC98-2549-87D8-166072BA46A8}" xr6:coauthVersionLast="47" xr6:coauthVersionMax="47" xr10:uidLastSave="{00000000-0000-0000-0000-000000000000}"/>
  <bookViews>
    <workbookView xWindow="0" yWindow="0" windowWidth="24000" windowHeight="9630" tabRatio="786" xr2:uid="{00000000-000D-0000-FFFF-FFFF00000000}"/>
  </bookViews>
  <sheets>
    <sheet name="4" sheetId="1" r:id="rId1"/>
    <sheet name="12" sheetId="2" r:id="rId2"/>
    <sheet name="18" sheetId="3" r:id="rId3"/>
    <sheet name="19" sheetId="26" r:id="rId4"/>
    <sheet name="34" sheetId="4" r:id="rId5"/>
    <sheet name="42" sheetId="5" r:id="rId6"/>
    <sheet name="52" sheetId="6" r:id="rId7"/>
    <sheet name="53" sheetId="7" r:id="rId8"/>
    <sheet name="55" sheetId="9" r:id="rId9"/>
    <sheet name="60" sheetId="8" r:id="rId10"/>
    <sheet name="63" sheetId="11" r:id="rId11"/>
    <sheet name="64" sheetId="12" r:id="rId12"/>
    <sheet name="65" sheetId="10" r:id="rId13"/>
    <sheet name="77" sheetId="13" r:id="rId14"/>
    <sheet name="93" sheetId="14" r:id="rId15"/>
    <sheet name="95" sheetId="15" r:id="rId16"/>
    <sheet name="101" sheetId="16" r:id="rId17"/>
    <sheet name="111" sheetId="17" r:id="rId18"/>
    <sheet name="Вибір" sheetId="18" r:id="rId19"/>
    <sheet name="Мрія" sheetId="28" r:id="rId20"/>
    <sheet name="Перспектива" sheetId="29" r:id="rId21"/>
    <sheet name="Прогрес" sheetId="30" r:id="rId22"/>
    <sheet name="Світанок" sheetId="27" r:id="rId23"/>
    <sheet name="Натхнення" sheetId="34" r:id="rId24"/>
  </sheets>
  <definedNames>
    <definedName name="_xlnm.Print_Area" localSheetId="16">'101'!$A$1:$D$36</definedName>
    <definedName name="_xlnm.Print_Area" localSheetId="17">'111'!$A$1:$D$36</definedName>
    <definedName name="_xlnm.Print_Area" localSheetId="1">'12'!$A$1:$D$36</definedName>
    <definedName name="_xlnm.Print_Area" localSheetId="2">'18'!$A$1:$D$37</definedName>
    <definedName name="_xlnm.Print_Area" localSheetId="3">'19'!$A$1:$D$37</definedName>
    <definedName name="_xlnm.Print_Area" localSheetId="4">'34'!$A$1:$D$37</definedName>
    <definedName name="_xlnm.Print_Area" localSheetId="0">'4'!$A$1:$D$37</definedName>
    <definedName name="_xlnm.Print_Area" localSheetId="5">'42'!$A$1:$D$37</definedName>
    <definedName name="_xlnm.Print_Area" localSheetId="6">'52'!$A$1:$D$36</definedName>
    <definedName name="_xlnm.Print_Area" localSheetId="7">'53'!$A$1:$D$36</definedName>
    <definedName name="_xlnm.Print_Area" localSheetId="8">'55'!$A$1:$D$36</definedName>
    <definedName name="_xlnm.Print_Area" localSheetId="9">'60'!$A$1:$D$37</definedName>
    <definedName name="_xlnm.Print_Area" localSheetId="10">'63'!$A$1:$D$37</definedName>
    <definedName name="_xlnm.Print_Area" localSheetId="11">'64'!$A$1:$D$36</definedName>
    <definedName name="_xlnm.Print_Area" localSheetId="12">'65'!$A$1:$D$38</definedName>
    <definedName name="_xlnm.Print_Area" localSheetId="13">'77'!$A$1:$D$37</definedName>
    <definedName name="_xlnm.Print_Area" localSheetId="14">'93'!$A$1:$D$36</definedName>
    <definedName name="_xlnm.Print_Area" localSheetId="15">'95'!$A$1:$D$36</definedName>
    <definedName name="_xlnm.Print_Area" localSheetId="18">Вибір!$A$1:$D$36</definedName>
    <definedName name="_xlnm.Print_Area" localSheetId="19">Мрія!$A$1:$D$36</definedName>
    <definedName name="_xlnm.Print_Area" localSheetId="23">Натхнення!$A$1:$D$36</definedName>
    <definedName name="_xlnm.Print_Area" localSheetId="20">Перспектива!$A$1:$D$36</definedName>
    <definedName name="_xlnm.Print_Area" localSheetId="21">Прогрес!$A$1:$D$37</definedName>
    <definedName name="_xlnm.Print_Area" localSheetId="22">Світанок!$A$1:$D$36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9" l="1"/>
  <c r="C33" i="10"/>
  <c r="C31" i="7"/>
  <c r="C32" i="26"/>
  <c r="C32" i="30"/>
  <c r="C31" i="29"/>
  <c r="C31" i="28"/>
  <c r="C31" i="27"/>
  <c r="C31" i="17"/>
  <c r="C31" i="16"/>
  <c r="C31" i="15"/>
  <c r="C31" i="14"/>
  <c r="C32" i="13"/>
  <c r="C31" i="12"/>
  <c r="C32" i="11"/>
  <c r="C32" i="8"/>
  <c r="C31" i="9"/>
  <c r="C31" i="6"/>
  <c r="C32" i="5"/>
  <c r="C31" i="18"/>
  <c r="C31" i="34"/>
  <c r="C32" i="4"/>
  <c r="C32" i="3"/>
  <c r="C31" i="2"/>
  <c r="C32" i="1"/>
  <c r="C30" i="30"/>
  <c r="C29" i="29"/>
  <c r="C29" i="28"/>
  <c r="C29" i="27"/>
  <c r="C29" i="17"/>
  <c r="C29" i="16"/>
  <c r="C29" i="15"/>
  <c r="C29" i="14"/>
  <c r="C30" i="13"/>
  <c r="C31" i="10"/>
  <c r="C29" i="12"/>
  <c r="C30" i="11"/>
  <c r="C30" i="8"/>
  <c r="C29" i="9"/>
  <c r="C29" i="7"/>
  <c r="C29" i="6"/>
  <c r="C30" i="5"/>
  <c r="C29" i="18"/>
  <c r="C29" i="34"/>
  <c r="C30" i="4"/>
  <c r="C30" i="26"/>
  <c r="C30" i="3"/>
  <c r="C29" i="2"/>
  <c r="C30" i="1"/>
  <c r="C29" i="30"/>
  <c r="C28" i="29"/>
  <c r="C28" i="28"/>
  <c r="C28" i="27"/>
  <c r="C28" i="17"/>
  <c r="C28" i="16"/>
  <c r="C28" i="15"/>
  <c r="C28" i="14"/>
  <c r="C29" i="13"/>
  <c r="C30" i="10"/>
  <c r="C28" i="12"/>
  <c r="C29" i="11"/>
  <c r="C29" i="8"/>
  <c r="C28" i="9"/>
  <c r="C28" i="7"/>
  <c r="C28" i="6"/>
  <c r="C29" i="5"/>
  <c r="C28" i="18"/>
  <c r="C28" i="34"/>
  <c r="C29" i="4"/>
  <c r="C29" i="26"/>
  <c r="C29" i="3"/>
  <c r="C28" i="2"/>
  <c r="C29" i="1"/>
  <c r="C28" i="30"/>
  <c r="C27" i="29"/>
  <c r="C27" i="28"/>
  <c r="C27" i="27"/>
  <c r="C27" i="17"/>
  <c r="C27" i="16"/>
  <c r="C27" i="15"/>
  <c r="C27" i="14"/>
  <c r="C28" i="13"/>
  <c r="C29" i="10"/>
  <c r="C27" i="12"/>
  <c r="C28" i="11"/>
  <c r="C28" i="8"/>
  <c r="C27" i="9"/>
  <c r="C27" i="6"/>
  <c r="C28" i="5"/>
  <c r="C27" i="18"/>
  <c r="C27" i="34"/>
  <c r="C28" i="4"/>
  <c r="C28" i="26"/>
  <c r="C28" i="3"/>
  <c r="C27" i="2"/>
  <c r="C28" i="1"/>
  <c r="C21" i="34"/>
  <c r="C21" i="27"/>
  <c r="C22" i="30"/>
  <c r="C21" i="29"/>
  <c r="C21" i="28"/>
  <c r="C21" i="18"/>
  <c r="C21" i="17"/>
  <c r="C21" i="16"/>
  <c r="C21" i="15"/>
  <c r="C21" i="14"/>
  <c r="C22" i="13"/>
  <c r="C23" i="10"/>
  <c r="C21" i="12"/>
  <c r="C22" i="11"/>
  <c r="C22" i="8"/>
  <c r="C21" i="7"/>
  <c r="C21" i="9"/>
  <c r="C21" i="6"/>
  <c r="C22" i="5"/>
  <c r="C22" i="4"/>
  <c r="C22" i="26"/>
  <c r="C22" i="3"/>
  <c r="C21" i="2"/>
  <c r="C22" i="1"/>
  <c r="C33" i="29"/>
  <c r="C18" i="5"/>
  <c r="C19" i="5"/>
  <c r="C18" i="34"/>
  <c r="C18" i="12"/>
  <c r="C18" i="28"/>
  <c r="C19" i="28"/>
  <c r="C18" i="27"/>
  <c r="C18" i="30"/>
  <c r="C18" i="29"/>
  <c r="C18" i="18"/>
  <c r="C18" i="17"/>
  <c r="C18" i="16"/>
  <c r="C18" i="15"/>
  <c r="C18" i="14"/>
  <c r="C18" i="13"/>
  <c r="C18" i="10"/>
  <c r="C18" i="11"/>
  <c r="C18" i="8"/>
  <c r="C18" i="9"/>
  <c r="C18" i="7"/>
  <c r="C18" i="6"/>
  <c r="C18" i="4"/>
  <c r="C18" i="26"/>
  <c r="C18" i="3"/>
  <c r="C18" i="2"/>
  <c r="C18" i="1"/>
  <c r="C19" i="4"/>
  <c r="D19" i="4"/>
  <c r="C19" i="3"/>
  <c r="D19" i="3"/>
  <c r="C19" i="26"/>
  <c r="C19" i="13"/>
  <c r="C19" i="1"/>
  <c r="D19" i="1"/>
  <c r="C20" i="10"/>
  <c r="D20" i="10"/>
  <c r="C19" i="11"/>
  <c r="D19" i="11"/>
  <c r="C19" i="30"/>
  <c r="D19" i="30"/>
  <c r="C19" i="8"/>
  <c r="D19" i="26"/>
  <c r="D19" i="5"/>
  <c r="C19" i="10"/>
  <c r="C20" i="28"/>
  <c r="D20" i="28"/>
  <c r="C25" i="2"/>
  <c r="C27" i="10"/>
  <c r="D19" i="8"/>
  <c r="D19" i="13"/>
  <c r="C26" i="30"/>
  <c r="C25" i="9"/>
  <c r="C26" i="1"/>
  <c r="D19" i="10"/>
  <c r="C24" i="2"/>
  <c r="C24" i="17"/>
  <c r="C26" i="10"/>
  <c r="C24" i="9"/>
  <c r="C25" i="1"/>
  <c r="C24" i="28"/>
  <c r="C25" i="3"/>
  <c r="C24" i="12"/>
  <c r="C25" i="13"/>
  <c r="C24" i="16"/>
  <c r="C25" i="4"/>
  <c r="C24" i="34"/>
  <c r="C24" i="15"/>
  <c r="C25" i="11"/>
  <c r="C25" i="8"/>
  <c r="C24" i="29"/>
  <c r="C24" i="18"/>
  <c r="C25" i="30"/>
  <c r="C25" i="26"/>
  <c r="C24" i="27"/>
  <c r="C24" i="14"/>
  <c r="D24" i="34"/>
  <c r="D25" i="4"/>
  <c r="D24" i="27"/>
  <c r="D25" i="30"/>
  <c r="D24" i="29"/>
  <c r="D24" i="28"/>
  <c r="D24" i="18"/>
  <c r="D24" i="17"/>
  <c r="D24" i="16"/>
  <c r="D24" i="15"/>
  <c r="D24" i="14"/>
  <c r="D25" i="13"/>
  <c r="D26" i="10"/>
  <c r="D24" i="12"/>
  <c r="D25" i="11"/>
  <c r="D25" i="8"/>
  <c r="D24" i="9"/>
  <c r="D24" i="7"/>
  <c r="D24" i="6"/>
  <c r="D25" i="5"/>
  <c r="D25" i="26"/>
  <c r="D25" i="3"/>
  <c r="D25" i="1"/>
  <c r="C25" i="10"/>
  <c r="C24" i="1"/>
  <c r="C24" i="26"/>
  <c r="C23" i="15"/>
  <c r="C23" i="12"/>
  <c r="C24" i="4"/>
  <c r="C23" i="2"/>
  <c r="C23" i="14"/>
  <c r="C24" i="30"/>
  <c r="C24" i="13"/>
  <c r="C24" i="5"/>
  <c r="C23" i="9"/>
  <c r="C22" i="18"/>
  <c r="C23" i="4"/>
  <c r="C19" i="18"/>
  <c r="C23" i="11"/>
  <c r="C19" i="6"/>
  <c r="C23" i="3"/>
  <c r="C23" i="1"/>
  <c r="C22" i="14"/>
  <c r="C22" i="17"/>
  <c r="C23" i="30"/>
  <c r="C20" i="30"/>
  <c r="C19" i="14"/>
  <c r="C22" i="27"/>
  <c r="C23" i="8"/>
  <c r="D24" i="2"/>
  <c r="C36" i="2"/>
  <c r="C37" i="13"/>
  <c r="C37" i="5"/>
  <c r="C36" i="4"/>
  <c r="C21" i="26"/>
  <c r="D21" i="26"/>
  <c r="C19" i="17"/>
  <c r="C20" i="11"/>
  <c r="C20" i="4"/>
  <c r="C20" i="26"/>
  <c r="C19" i="16"/>
  <c r="C23" i="13"/>
  <c r="C26" i="26"/>
  <c r="C25" i="28"/>
  <c r="C25" i="27"/>
  <c r="C25" i="29"/>
  <c r="C25" i="17"/>
  <c r="C25" i="16"/>
  <c r="C25" i="15"/>
  <c r="C25" i="14"/>
  <c r="C26" i="13"/>
  <c r="C25" i="12"/>
  <c r="C26" i="11"/>
  <c r="C26" i="8"/>
  <c r="C25" i="7"/>
  <c r="C25" i="6"/>
  <c r="C26" i="5"/>
  <c r="C25" i="18"/>
  <c r="C25" i="34"/>
  <c r="C26" i="4"/>
  <c r="C26" i="3"/>
  <c r="C21" i="4"/>
  <c r="C32" i="29"/>
  <c r="C27" i="11"/>
  <c r="C17" i="11"/>
  <c r="C32" i="7"/>
  <c r="C32" i="6"/>
  <c r="D23" i="34"/>
  <c r="D36" i="34"/>
  <c r="D35" i="34"/>
  <c r="C34" i="34"/>
  <c r="D34" i="34"/>
  <c r="D33" i="34"/>
  <c r="C32" i="34"/>
  <c r="D31" i="34"/>
  <c r="D30" i="34"/>
  <c r="D29" i="34"/>
  <c r="D28" i="34"/>
  <c r="D27" i="34"/>
  <c r="C26" i="34"/>
  <c r="D25" i="34"/>
  <c r="D22" i="34"/>
  <c r="D20" i="34"/>
  <c r="D19" i="34"/>
  <c r="D18" i="34"/>
  <c r="D26" i="34"/>
  <c r="C17" i="34"/>
  <c r="C16" i="34"/>
  <c r="D32" i="34"/>
  <c r="D21" i="34"/>
  <c r="D17" i="34"/>
  <c r="D16" i="34"/>
  <c r="C15" i="34"/>
  <c r="D15" i="34"/>
  <c r="D18" i="27"/>
  <c r="D19" i="27"/>
  <c r="D20" i="27"/>
  <c r="D21" i="27"/>
  <c r="D22" i="27"/>
  <c r="D23" i="27"/>
  <c r="D25" i="27"/>
  <c r="D27" i="27"/>
  <c r="D28" i="27"/>
  <c r="D29" i="27"/>
  <c r="D30" i="27"/>
  <c r="D31" i="27"/>
  <c r="D33" i="27"/>
  <c r="D35" i="27"/>
  <c r="D36" i="27"/>
  <c r="C34" i="27"/>
  <c r="D34" i="27"/>
  <c r="C32" i="27"/>
  <c r="D32" i="27"/>
  <c r="D18" i="30"/>
  <c r="D20" i="30"/>
  <c r="D21" i="30"/>
  <c r="D22" i="30"/>
  <c r="D23" i="30"/>
  <c r="D24" i="30"/>
  <c r="D26" i="30"/>
  <c r="D28" i="30"/>
  <c r="D29" i="30"/>
  <c r="D30" i="30"/>
  <c r="D31" i="30"/>
  <c r="D32" i="30"/>
  <c r="D34" i="30"/>
  <c r="D36" i="30"/>
  <c r="D37" i="30"/>
  <c r="C35" i="30"/>
  <c r="C33" i="30"/>
  <c r="D33" i="30"/>
  <c r="D18" i="29"/>
  <c r="D19" i="29"/>
  <c r="D20" i="29"/>
  <c r="D21" i="29"/>
  <c r="D22" i="29"/>
  <c r="D23" i="29"/>
  <c r="D25" i="29"/>
  <c r="D27" i="29"/>
  <c r="D28" i="29"/>
  <c r="D29" i="29"/>
  <c r="D30" i="29"/>
  <c r="D31" i="29"/>
  <c r="D33" i="29"/>
  <c r="D35" i="29"/>
  <c r="D36" i="29"/>
  <c r="C34" i="29"/>
  <c r="D34" i="29"/>
  <c r="D18" i="28"/>
  <c r="D19" i="28"/>
  <c r="D21" i="28"/>
  <c r="D22" i="28"/>
  <c r="D23" i="28"/>
  <c r="D25" i="28"/>
  <c r="D27" i="28"/>
  <c r="D28" i="28"/>
  <c r="D29" i="28"/>
  <c r="D30" i="28"/>
  <c r="D31" i="28"/>
  <c r="D33" i="28"/>
  <c r="D35" i="28"/>
  <c r="D36" i="28"/>
  <c r="C34" i="28"/>
  <c r="D34" i="28"/>
  <c r="C32" i="28"/>
  <c r="D32" i="28"/>
  <c r="D36" i="18"/>
  <c r="D18" i="18"/>
  <c r="D19" i="18"/>
  <c r="D20" i="18"/>
  <c r="D21" i="18"/>
  <c r="D22" i="18"/>
  <c r="D23" i="18"/>
  <c r="D25" i="18"/>
  <c r="D27" i="18"/>
  <c r="D28" i="18"/>
  <c r="D29" i="18"/>
  <c r="D30" i="18"/>
  <c r="D31" i="18"/>
  <c r="D33" i="18"/>
  <c r="D35" i="18"/>
  <c r="C34" i="18"/>
  <c r="D34" i="18"/>
  <c r="C32" i="18"/>
  <c r="D18" i="17"/>
  <c r="D19" i="17"/>
  <c r="D20" i="17"/>
  <c r="D21" i="17"/>
  <c r="D22" i="17"/>
  <c r="D23" i="17"/>
  <c r="D25" i="17"/>
  <c r="D27" i="17"/>
  <c r="D28" i="17"/>
  <c r="D29" i="17"/>
  <c r="D30" i="17"/>
  <c r="D31" i="17"/>
  <c r="D33" i="17"/>
  <c r="D35" i="17"/>
  <c r="D36" i="17"/>
  <c r="C34" i="17"/>
  <c r="D34" i="17"/>
  <c r="C32" i="17"/>
  <c r="D32" i="17"/>
  <c r="D18" i="16"/>
  <c r="D19" i="16"/>
  <c r="D20" i="16"/>
  <c r="D21" i="16"/>
  <c r="D22" i="16"/>
  <c r="D23" i="16"/>
  <c r="D25" i="16"/>
  <c r="D27" i="16"/>
  <c r="D28" i="16"/>
  <c r="D29" i="16"/>
  <c r="D30" i="16"/>
  <c r="D31" i="16"/>
  <c r="D33" i="16"/>
  <c r="D35" i="16"/>
  <c r="D36" i="16"/>
  <c r="C34" i="16"/>
  <c r="D34" i="16"/>
  <c r="C32" i="16"/>
  <c r="D32" i="16"/>
  <c r="D18" i="15"/>
  <c r="D19" i="15"/>
  <c r="D20" i="15"/>
  <c r="D21" i="15"/>
  <c r="D22" i="15"/>
  <c r="D23" i="15"/>
  <c r="D25" i="15"/>
  <c r="D27" i="15"/>
  <c r="D28" i="15"/>
  <c r="D29" i="15"/>
  <c r="D30" i="15"/>
  <c r="D31" i="15"/>
  <c r="C32" i="15"/>
  <c r="D32" i="15"/>
  <c r="D33" i="15"/>
  <c r="D35" i="15"/>
  <c r="D36" i="15"/>
  <c r="C34" i="15"/>
  <c r="D34" i="15"/>
  <c r="D18" i="14"/>
  <c r="D19" i="14"/>
  <c r="D20" i="14"/>
  <c r="D21" i="14"/>
  <c r="D22" i="14"/>
  <c r="D23" i="14"/>
  <c r="D25" i="14"/>
  <c r="D27" i="14"/>
  <c r="D28" i="14"/>
  <c r="D29" i="14"/>
  <c r="D30" i="14"/>
  <c r="D31" i="14"/>
  <c r="D33" i="14"/>
  <c r="D35" i="14"/>
  <c r="D36" i="14"/>
  <c r="C34" i="14"/>
  <c r="C32" i="14"/>
  <c r="D32" i="14"/>
  <c r="D18" i="13"/>
  <c r="D20" i="13"/>
  <c r="D21" i="13"/>
  <c r="D22" i="13"/>
  <c r="D23" i="13"/>
  <c r="D24" i="13"/>
  <c r="D26" i="13"/>
  <c r="D28" i="13"/>
  <c r="D29" i="13"/>
  <c r="D30" i="13"/>
  <c r="D31" i="13"/>
  <c r="D32" i="13"/>
  <c r="D34" i="13"/>
  <c r="D36" i="13"/>
  <c r="D37" i="13"/>
  <c r="C35" i="13"/>
  <c r="D35" i="13"/>
  <c r="C33" i="13"/>
  <c r="D33" i="13"/>
  <c r="D18" i="10"/>
  <c r="D21" i="10"/>
  <c r="D22" i="10"/>
  <c r="D23" i="10"/>
  <c r="D24" i="10"/>
  <c r="D25" i="10"/>
  <c r="D27" i="10"/>
  <c r="D29" i="10"/>
  <c r="D30" i="10"/>
  <c r="D31" i="10"/>
  <c r="D32" i="10"/>
  <c r="D33" i="10"/>
  <c r="C34" i="10"/>
  <c r="D34" i="10"/>
  <c r="D35" i="10"/>
  <c r="D37" i="10"/>
  <c r="D38" i="10"/>
  <c r="C36" i="10"/>
  <c r="D36" i="10"/>
  <c r="D18" i="12"/>
  <c r="D19" i="12"/>
  <c r="D20" i="12"/>
  <c r="D21" i="12"/>
  <c r="D22" i="12"/>
  <c r="D23" i="12"/>
  <c r="D25" i="12"/>
  <c r="D27" i="12"/>
  <c r="D28" i="12"/>
  <c r="D29" i="12"/>
  <c r="D30" i="12"/>
  <c r="D31" i="12"/>
  <c r="D33" i="12"/>
  <c r="D35" i="12"/>
  <c r="D36" i="12"/>
  <c r="C34" i="12"/>
  <c r="C32" i="12"/>
  <c r="D32" i="12"/>
  <c r="D18" i="11"/>
  <c r="D20" i="11"/>
  <c r="D21" i="11"/>
  <c r="D22" i="11"/>
  <c r="D23" i="11"/>
  <c r="D24" i="11"/>
  <c r="D26" i="11"/>
  <c r="D28" i="11"/>
  <c r="D29" i="11"/>
  <c r="D30" i="11"/>
  <c r="D31" i="11"/>
  <c r="D32" i="11"/>
  <c r="C33" i="11"/>
  <c r="D33" i="11"/>
  <c r="D34" i="11"/>
  <c r="D36" i="11"/>
  <c r="D37" i="11"/>
  <c r="C35" i="11"/>
  <c r="D18" i="8"/>
  <c r="D20" i="8"/>
  <c r="D21" i="8"/>
  <c r="D22" i="8"/>
  <c r="D23" i="8"/>
  <c r="D24" i="8"/>
  <c r="D26" i="8"/>
  <c r="D28" i="8"/>
  <c r="D29" i="8"/>
  <c r="D30" i="8"/>
  <c r="D31" i="8"/>
  <c r="D32" i="8"/>
  <c r="D34" i="8"/>
  <c r="D36" i="8"/>
  <c r="D37" i="8"/>
  <c r="C35" i="8"/>
  <c r="D35" i="8"/>
  <c r="C33" i="8"/>
  <c r="D33" i="8"/>
  <c r="D18" i="9"/>
  <c r="D19" i="9"/>
  <c r="D20" i="9"/>
  <c r="D21" i="9"/>
  <c r="D22" i="9"/>
  <c r="D23" i="9"/>
  <c r="D25" i="9"/>
  <c r="D27" i="9"/>
  <c r="D28" i="9"/>
  <c r="D29" i="9"/>
  <c r="D30" i="9"/>
  <c r="D31" i="9"/>
  <c r="D33" i="9"/>
  <c r="D35" i="9"/>
  <c r="D36" i="9"/>
  <c r="C34" i="9"/>
  <c r="D34" i="9"/>
  <c r="C32" i="9"/>
  <c r="D32" i="9"/>
  <c r="D18" i="7"/>
  <c r="D19" i="7"/>
  <c r="D20" i="7"/>
  <c r="D21" i="7"/>
  <c r="D22" i="7"/>
  <c r="D23" i="7"/>
  <c r="D25" i="7"/>
  <c r="D27" i="7"/>
  <c r="D28" i="7"/>
  <c r="D29" i="7"/>
  <c r="D30" i="7"/>
  <c r="D31" i="7"/>
  <c r="D32" i="7"/>
  <c r="D33" i="7"/>
  <c r="D35" i="7"/>
  <c r="D36" i="7"/>
  <c r="C34" i="7"/>
  <c r="D34" i="7"/>
  <c r="D18" i="6"/>
  <c r="D19" i="6"/>
  <c r="D20" i="6"/>
  <c r="D21" i="6"/>
  <c r="D22" i="6"/>
  <c r="D23" i="6"/>
  <c r="D25" i="6"/>
  <c r="D27" i="6"/>
  <c r="D28" i="6"/>
  <c r="D29" i="6"/>
  <c r="D30" i="6"/>
  <c r="D31" i="6"/>
  <c r="D32" i="6"/>
  <c r="D33" i="6"/>
  <c r="D35" i="6"/>
  <c r="D36" i="6"/>
  <c r="C34" i="6"/>
  <c r="D34" i="6"/>
  <c r="D18" i="5"/>
  <c r="D20" i="5"/>
  <c r="D21" i="5"/>
  <c r="D22" i="5"/>
  <c r="D23" i="5"/>
  <c r="D24" i="5"/>
  <c r="D26" i="5"/>
  <c r="D28" i="5"/>
  <c r="D29" i="5"/>
  <c r="D30" i="5"/>
  <c r="D31" i="5"/>
  <c r="D32" i="5"/>
  <c r="D34" i="5"/>
  <c r="D36" i="5"/>
  <c r="D37" i="5"/>
  <c r="C35" i="5"/>
  <c r="D35" i="5"/>
  <c r="C33" i="5"/>
  <c r="D33" i="5"/>
  <c r="D18" i="4"/>
  <c r="D20" i="4"/>
  <c r="D21" i="4"/>
  <c r="D22" i="4"/>
  <c r="D23" i="4"/>
  <c r="D24" i="4"/>
  <c r="D26" i="4"/>
  <c r="D28" i="4"/>
  <c r="D29" i="4"/>
  <c r="D30" i="4"/>
  <c r="D31" i="4"/>
  <c r="D32" i="4"/>
  <c r="D34" i="4"/>
  <c r="D36" i="4"/>
  <c r="D37" i="4"/>
  <c r="C35" i="4"/>
  <c r="D35" i="4"/>
  <c r="C33" i="4"/>
  <c r="D33" i="4"/>
  <c r="C33" i="26"/>
  <c r="D33" i="26"/>
  <c r="D18" i="26"/>
  <c r="D20" i="26"/>
  <c r="D22" i="26"/>
  <c r="D23" i="26"/>
  <c r="D24" i="26"/>
  <c r="D26" i="26"/>
  <c r="D28" i="26"/>
  <c r="D29" i="26"/>
  <c r="D30" i="26"/>
  <c r="D31" i="26"/>
  <c r="D32" i="26"/>
  <c r="D34" i="26"/>
  <c r="D36" i="26"/>
  <c r="D37" i="26"/>
  <c r="C35" i="26"/>
  <c r="D18" i="3"/>
  <c r="D20" i="3"/>
  <c r="D21" i="3"/>
  <c r="D22" i="3"/>
  <c r="D23" i="3"/>
  <c r="D24" i="3"/>
  <c r="D26" i="3"/>
  <c r="D28" i="3"/>
  <c r="D29" i="3"/>
  <c r="D30" i="3"/>
  <c r="D31" i="3"/>
  <c r="D32" i="3"/>
  <c r="D34" i="3"/>
  <c r="D36" i="3"/>
  <c r="D37" i="3"/>
  <c r="C27" i="3"/>
  <c r="C35" i="3"/>
  <c r="D35" i="3"/>
  <c r="D27" i="3"/>
  <c r="C17" i="3"/>
  <c r="D17" i="3"/>
  <c r="D32" i="18"/>
  <c r="D35" i="30"/>
  <c r="D35" i="11"/>
  <c r="D35" i="26"/>
  <c r="D34" i="12"/>
  <c r="D32" i="29"/>
  <c r="D34" i="14"/>
  <c r="C33" i="3"/>
  <c r="D20" i="1"/>
  <c r="D21" i="1"/>
  <c r="D22" i="1"/>
  <c r="D23" i="1"/>
  <c r="D24" i="1"/>
  <c r="D26" i="1"/>
  <c r="D28" i="1"/>
  <c r="D31" i="1"/>
  <c r="D34" i="1"/>
  <c r="D35" i="1"/>
  <c r="D36" i="1"/>
  <c r="D37" i="1"/>
  <c r="D19" i="2"/>
  <c r="D20" i="2"/>
  <c r="D21" i="2"/>
  <c r="D22" i="2"/>
  <c r="D23" i="2"/>
  <c r="D25" i="2"/>
  <c r="D27" i="2"/>
  <c r="D28" i="2"/>
  <c r="D29" i="2"/>
  <c r="D30" i="2"/>
  <c r="D31" i="2"/>
  <c r="D33" i="2"/>
  <c r="D35" i="2"/>
  <c r="D36" i="2"/>
  <c r="C34" i="2"/>
  <c r="C32" i="2"/>
  <c r="D32" i="2"/>
  <c r="C33" i="1"/>
  <c r="D34" i="2"/>
  <c r="D33" i="3"/>
  <c r="C16" i="3"/>
  <c r="C15" i="3"/>
  <c r="D15" i="3"/>
  <c r="D33" i="1"/>
  <c r="D18" i="2"/>
  <c r="D16" i="3"/>
  <c r="D18" i="1"/>
  <c r="C27" i="26"/>
  <c r="C17" i="26"/>
  <c r="C26" i="27"/>
  <c r="C17" i="27"/>
  <c r="C26" i="17"/>
  <c r="C17" i="17"/>
  <c r="C27" i="13"/>
  <c r="C17" i="13"/>
  <c r="C27" i="8"/>
  <c r="C17" i="8"/>
  <c r="C26" i="18"/>
  <c r="C17" i="18"/>
  <c r="C26" i="2"/>
  <c r="C17" i="2"/>
  <c r="D26" i="27"/>
  <c r="D26" i="18"/>
  <c r="D26" i="17"/>
  <c r="D27" i="13"/>
  <c r="D27" i="8"/>
  <c r="D27" i="26"/>
  <c r="D26" i="2"/>
  <c r="D29" i="1"/>
  <c r="C27" i="1"/>
  <c r="C17" i="1"/>
  <c r="D30" i="1"/>
  <c r="D32" i="1"/>
  <c r="C27" i="30"/>
  <c r="C17" i="30"/>
  <c r="C26" i="29"/>
  <c r="C26" i="28"/>
  <c r="C17" i="28"/>
  <c r="C26" i="16"/>
  <c r="C17" i="16"/>
  <c r="C26" i="15"/>
  <c r="C17" i="15"/>
  <c r="C26" i="14"/>
  <c r="C17" i="14"/>
  <c r="C28" i="10"/>
  <c r="C17" i="10"/>
  <c r="C26" i="12"/>
  <c r="C17" i="12"/>
  <c r="C26" i="9"/>
  <c r="C17" i="9"/>
  <c r="C26" i="7"/>
  <c r="C17" i="7"/>
  <c r="C26" i="6"/>
  <c r="C17" i="6"/>
  <c r="C27" i="5"/>
  <c r="C17" i="5"/>
  <c r="C27" i="4"/>
  <c r="C17" i="4"/>
  <c r="C17" i="29"/>
  <c r="D17" i="27"/>
  <c r="C16" i="27"/>
  <c r="D27" i="30"/>
  <c r="D17" i="30"/>
  <c r="D26" i="29"/>
  <c r="D26" i="28"/>
  <c r="D17" i="18"/>
  <c r="C16" i="18"/>
  <c r="C16" i="17"/>
  <c r="D17" i="17"/>
  <c r="D26" i="16"/>
  <c r="D26" i="15"/>
  <c r="D26" i="14"/>
  <c r="D17" i="13"/>
  <c r="C16" i="13"/>
  <c r="D28" i="10"/>
  <c r="D26" i="12"/>
  <c r="D27" i="11"/>
  <c r="C16" i="8"/>
  <c r="D17" i="8"/>
  <c r="D26" i="9"/>
  <c r="D26" i="7"/>
  <c r="D26" i="6"/>
  <c r="D27" i="5"/>
  <c r="D27" i="4"/>
  <c r="D17" i="26"/>
  <c r="C16" i="26"/>
  <c r="C16" i="2"/>
  <c r="D17" i="2"/>
  <c r="D27" i="1"/>
  <c r="C16" i="30"/>
  <c r="C15" i="27"/>
  <c r="D15" i="27"/>
  <c r="D16" i="27"/>
  <c r="D17" i="29"/>
  <c r="C16" i="29"/>
  <c r="D17" i="28"/>
  <c r="C16" i="28"/>
  <c r="C15" i="18"/>
  <c r="D15" i="18"/>
  <c r="D16" i="18"/>
  <c r="C15" i="17"/>
  <c r="D15" i="17"/>
  <c r="D16" i="17"/>
  <c r="D17" i="16"/>
  <c r="C16" i="16"/>
  <c r="D17" i="15"/>
  <c r="C16" i="15"/>
  <c r="D17" i="14"/>
  <c r="C16" i="14"/>
  <c r="D16" i="13"/>
  <c r="C15" i="13"/>
  <c r="D15" i="13"/>
  <c r="D17" i="10"/>
  <c r="C16" i="10"/>
  <c r="D17" i="12"/>
  <c r="C16" i="12"/>
  <c r="D17" i="11"/>
  <c r="C16" i="11"/>
  <c r="D16" i="8"/>
  <c r="C15" i="8"/>
  <c r="D17" i="9"/>
  <c r="C16" i="9"/>
  <c r="C16" i="7"/>
  <c r="D17" i="7"/>
  <c r="D17" i="6"/>
  <c r="C16" i="6"/>
  <c r="C16" i="5"/>
  <c r="D17" i="5"/>
  <c r="D17" i="4"/>
  <c r="C16" i="4"/>
  <c r="C15" i="26"/>
  <c r="D15" i="26"/>
  <c r="D16" i="26"/>
  <c r="C15" i="2"/>
  <c r="D15" i="2"/>
  <c r="D16" i="2"/>
  <c r="D17" i="1"/>
  <c r="C16" i="1"/>
  <c r="D15" i="8"/>
  <c r="C15" i="30"/>
  <c r="D15" i="30"/>
  <c r="D16" i="30"/>
  <c r="C15" i="29"/>
  <c r="D16" i="29"/>
  <c r="D16" i="28"/>
  <c r="C15" i="28"/>
  <c r="D15" i="28"/>
  <c r="D16" i="16"/>
  <c r="C15" i="16"/>
  <c r="D15" i="16"/>
  <c r="D16" i="15"/>
  <c r="C15" i="15"/>
  <c r="D15" i="15"/>
  <c r="C15" i="14"/>
  <c r="D15" i="14"/>
  <c r="D16" i="14"/>
  <c r="D16" i="10"/>
  <c r="C15" i="10"/>
  <c r="D15" i="10"/>
  <c r="D16" i="12"/>
  <c r="C15" i="12"/>
  <c r="D15" i="12"/>
  <c r="C15" i="11"/>
  <c r="D15" i="11"/>
  <c r="D16" i="11"/>
  <c r="D16" i="9"/>
  <c r="C15" i="9"/>
  <c r="D15" i="9"/>
  <c r="C15" i="7"/>
  <c r="D15" i="7"/>
  <c r="D16" i="7"/>
  <c r="C15" i="6"/>
  <c r="D15" i="6"/>
  <c r="D16" i="6"/>
  <c r="C15" i="5"/>
  <c r="D16" i="5"/>
  <c r="C15" i="4"/>
  <c r="D16" i="4"/>
  <c r="D16" i="1"/>
  <c r="C15" i="1"/>
  <c r="D15" i="29"/>
  <c r="D15" i="4"/>
  <c r="D15" i="5"/>
  <c r="D15" i="1"/>
</calcChain>
</file>

<file path=xl/sharedStrings.xml><?xml version="1.0" encoding="utf-8"?>
<sst xmlns="http://schemas.openxmlformats.org/spreadsheetml/2006/main" count="1019" uniqueCount="65">
  <si>
    <t>Звіт</t>
  </si>
  <si>
    <t>Одиниця виміру: грн, коп.</t>
  </si>
  <si>
    <t>Показники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</si>
  <si>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</si>
  <si>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</si>
  <si>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</si>
  <si>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</si>
  <si>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</si>
  <si>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Вивіз сміття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</si>
  <si>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</si>
  <si>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</si>
  <si>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</si>
  <si>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</si>
  <si>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Соціальне забезпечення</t>
  </si>
  <si>
    <t>Інші виплати населенню (стипендія Поляка)</t>
  </si>
  <si>
    <t>Капітальні видатки</t>
  </si>
  <si>
    <t>Оплата комунальних послуг та енергоносіїв:</t>
  </si>
  <si>
    <t>Придбання обладнання і предметів довгострокового користування</t>
  </si>
  <si>
    <t>Капітальний ремонт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</si>
  <si>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</si>
  <si>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Поточні ремонти</t>
  </si>
  <si>
    <t>Періодичність: квартальна</t>
  </si>
  <si>
    <t>КЕКВ</t>
  </si>
  <si>
    <t xml:space="preserve">Установа                                                                                                        </t>
  </si>
  <si>
    <t xml:space="preserve">Територія                                                                                                     </t>
  </si>
  <si>
    <t>м. Запоріжжя,  Шевченківський район</t>
  </si>
  <si>
    <t xml:space="preserve">Організаційно-правова форма господарювання                               </t>
  </si>
  <si>
    <t>Комунальна організація (установа, заклад)</t>
  </si>
  <si>
    <t xml:space="preserve">Код та назва типової відомчої класифікації видатків та кредитування місцевих бюджетів     </t>
  </si>
  <si>
    <t xml:space="preserve"> 06 Орган з питань освіти і науки</t>
  </si>
  <si>
    <t xml:space="preserve">Код та назва програмної класифікації видатків та кредитування місцевих бюджетів                                                
</t>
  </si>
  <si>
    <t>0611021 Надання загальної середньої освіти закладами загальної середньої освіти (у тому числі з дошкільними підрозділами (відділенями, групами)</t>
  </si>
  <si>
    <t>про надходження та використання коштів</t>
  </si>
  <si>
    <t>Надійшло коштів за звітний період (січень-грудень)</t>
  </si>
  <si>
    <t>Використано коштів за звітний період (січень-грудень)</t>
  </si>
  <si>
    <t>Предмети, матеріали, обладнання та інвентар Депутатський фонд</t>
  </si>
  <si>
    <t>Оплата послуг (крім комунальних) Депутатський фонд</t>
  </si>
  <si>
    <t>Протипожежні заходи</t>
  </si>
  <si>
    <t xml:space="preserve">Запорізька гімназія №4 Запорізької міської ради </t>
  </si>
  <si>
    <t>Запорізька гімназія № 12 Запорізької міської ради</t>
  </si>
  <si>
    <t xml:space="preserve">Запорізька спеціалізована школа фізичної культури І-ІІІ ступенів № 18 Запорізької міської ради </t>
  </si>
  <si>
    <t xml:space="preserve">Запорізька гімназія № 19 Запорізької міської ради </t>
  </si>
  <si>
    <t xml:space="preserve">Запорізький академічний ліцей № 34 
Запорізької міської ради
</t>
  </si>
  <si>
    <t>Запорізька гімназія № 42 Запорізької міської ради</t>
  </si>
  <si>
    <t xml:space="preserve">Запорізька гімназія № 52 Запорізької міської ради  </t>
  </si>
  <si>
    <t xml:space="preserve">Запорізька загальноосвітня школа І-ІІ ступенів 
№ 53 Запорізької міської ради 
</t>
  </si>
  <si>
    <t xml:space="preserve">Запорізька  гімназія №55 Запорізької міської ради </t>
  </si>
  <si>
    <t>Запорізька гімназія № 60 Запорізької міської ради</t>
  </si>
  <si>
    <t>Запорізька гімназія №63 Запорізької міської ради</t>
  </si>
  <si>
    <t xml:space="preserve">Запорізька гімназія №64 Запорізької міської ради </t>
  </si>
  <si>
    <t>Запорізька гімназія № 65 Запорізької міської ради</t>
  </si>
  <si>
    <t xml:space="preserve">Запорізька гімназія № 77 Запорізької міської ради            </t>
  </si>
  <si>
    <t xml:space="preserve">Запорізька гімназія № 93 Запорізької міської ради  </t>
  </si>
  <si>
    <t>Запорізька гімназія № 95 Запорізької міської ради</t>
  </si>
  <si>
    <t xml:space="preserve">Запорізька гімназія №101 Запорізької міської ради
</t>
  </si>
  <si>
    <t>Запорізька гімназія №111 Запорізької міської ради</t>
  </si>
  <si>
    <t xml:space="preserve">Запорізький академічний ліцей «Вибір» Запорізької міської ради  </t>
  </si>
  <si>
    <t>Запорізький академічний ліцей «Перспектива» Запорізької міської ради</t>
  </si>
  <si>
    <t>Запорізька початкова школа «Прогрес» Запорізької міської ради</t>
  </si>
  <si>
    <t>Запорізька початкова школа «Світанок» Запорізької міської ради</t>
  </si>
  <si>
    <t>Запорізька початкова школа « Натхнення» Запорізької міської ради</t>
  </si>
  <si>
    <t xml:space="preserve">Запорізька початкова школа «Мрія» 
ім. О.М.Поради Запорізької міської ради
</t>
  </si>
  <si>
    <t>за 2022 рік</t>
  </si>
  <si>
    <t>Видатки пов'язані з наданням підтримки внутрішньо переміщеним та/або евакуйованим особам у звязку із введенням военного стану</t>
  </si>
  <si>
    <t>Обладнання для облаштування найпростіших укриттів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</si>
</sst>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9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Font="1" applyAlignment="1"/>
    <xf numFmtId="0" fontId="0" fillId="4" borderId="0" xfId="0" applyFont="1" applyFill="1" applyAlignment="1"/>
    <xf numFmtId="0" fontId="0" fillId="5" borderId="0" xfId="0" applyFont="1" applyFill="1" applyAlignment="1"/>
    <xf numFmtId="0" fontId="0" fillId="6" borderId="0" xfId="0" applyFont="1" applyFill="1" applyAlignment="1"/>
    <xf numFmtId="0" fontId="0" fillId="7" borderId="0" xfId="0" applyFont="1" applyFill="1" applyAlignment="1"/>
    <xf numFmtId="0" fontId="0" fillId="3" borderId="0" xfId="0" applyFont="1" applyFill="1" applyAlignment="1"/>
    <xf numFmtId="0" fontId="0" fillId="0" borderId="0" xfId="0" applyFont="1" applyFill="1" applyAlignment="1"/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4" fontId="0" fillId="0" borderId="0" xfId="0" applyNumberFormat="1" applyFont="1" applyAlignment="1"/>
    <xf numFmtId="0" fontId="11" fillId="0" borderId="0" xfId="0" applyFont="1" applyAlignment="1"/>
    <xf numFmtId="4" fontId="0" fillId="6" borderId="0" xfId="0" applyNumberFormat="1" applyFont="1" applyFill="1" applyAlignment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wrapText="1"/>
    </xf>
    <xf numFmtId="0" fontId="9" fillId="0" borderId="3" xfId="1" applyFont="1" applyFill="1" applyBorder="1" applyAlignment="1">
      <alignment horizontal="center" vertical="top"/>
    </xf>
    <xf numFmtId="4" fontId="9" fillId="0" borderId="3" xfId="1" applyNumberFormat="1" applyFont="1" applyFill="1" applyBorder="1" applyAlignment="1">
      <alignment horizontal="center"/>
    </xf>
    <xf numFmtId="4" fontId="12" fillId="0" borderId="3" xfId="1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9" fillId="0" borderId="3" xfId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4" fontId="12" fillId="0" borderId="3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</cellXfs>
  <cellStyles count="2">
    <cellStyle name="Обычный" xfId="0" builtinId="0"/>
    <cellStyle name="Обычный_Dod5kochtor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styles" Target="styles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theme" Target="theme/theme1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calcChain" Target="calcChain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9"/>
  <sheetViews>
    <sheetView tabSelected="1" view="pageBreakPreview" zoomScaleNormal="60" zoomScaleSheetLayoutView="100" workbookViewId="0">
      <selection activeCell="E1" sqref="E1:G1048576"/>
    </sheetView>
  </sheetViews>
  <sheetFormatPr defaultColWidth="14.390625" defaultRowHeight="15" customHeight="1"/>
  <cols>
    <col min="1" max="1" width="57.84375" customWidth="1"/>
    <col min="2" max="2" width="10.89453125" customWidth="1"/>
    <col min="3" max="4" width="17.484375" customWidth="1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51.75" customHeight="1">
      <c r="A5" s="16" t="s">
        <v>23</v>
      </c>
      <c r="B5" s="42" t="s">
        <v>38</v>
      </c>
      <c r="C5" s="42"/>
      <c r="D5" s="42"/>
    </row>
    <row r="6" spans="1:4">
      <c r="A6" s="16" t="s">
        <v>24</v>
      </c>
      <c r="B6" s="15" t="s">
        <v>25</v>
      </c>
      <c r="C6" s="14"/>
      <c r="D6" s="14"/>
    </row>
    <row r="7" spans="1:4">
      <c r="A7" s="16" t="s">
        <v>26</v>
      </c>
      <c r="B7" s="15" t="s">
        <v>27</v>
      </c>
      <c r="C7" s="14"/>
      <c r="D7" s="14"/>
    </row>
    <row r="8" spans="1:4" ht="24">
      <c r="A8" s="1" t="s">
        <v>28</v>
      </c>
      <c r="B8" s="15" t="s">
        <v>29</v>
      </c>
      <c r="C8" s="14"/>
      <c r="D8" s="14"/>
    </row>
    <row r="9" spans="1:4" ht="43.5" customHeight="1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 s="6" customFormat="1" ht="16.5" customHeight="1">
      <c r="A12" s="43"/>
      <c r="B12" s="44"/>
      <c r="C12" s="44"/>
      <c r="D12" s="44"/>
    </row>
    <row r="13" spans="1:4" s="6" customFormat="1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 s="6" customFormat="1">
      <c r="A14" s="22">
        <v>1</v>
      </c>
      <c r="B14" s="22">
        <v>2</v>
      </c>
      <c r="C14" s="22">
        <v>3</v>
      </c>
      <c r="D14" s="22">
        <v>4</v>
      </c>
    </row>
    <row r="15" spans="1:4" s="9" customFormat="1" ht="15.75" customHeight="1">
      <c r="A15" s="22" t="s">
        <v>3</v>
      </c>
      <c r="B15" s="22" t="s">
        <v>4</v>
      </c>
      <c r="C15" s="26">
        <f>C16+C35</f>
        <v>1472937.65</v>
      </c>
      <c r="D15" s="26">
        <f>C15</f>
        <v>1472937.65</v>
      </c>
    </row>
    <row r="16" spans="1:4" s="8" customFormat="1" ht="36" customHeight="1">
      <c r="A16" s="24" t="s">
        <v>19</v>
      </c>
      <c r="B16" s="22">
        <v>2000</v>
      </c>
      <c r="C16" s="26">
        <f>C17+C33</f>
        <v>1472937.65</v>
      </c>
      <c r="D16" s="26">
        <f t="shared" ref="D16:D37" si="0">C16</f>
        <v>1472937.65</v>
      </c>
    </row>
    <row r="17" spans="1:4" s="10" customFormat="1" ht="15.75" customHeight="1">
      <c r="A17" s="21" t="s">
        <v>5</v>
      </c>
      <c r="B17" s="22">
        <v>2200</v>
      </c>
      <c r="C17" s="26">
        <f>C18+C20+C21+C22+C23+C24+C26+C27+C25+C19</f>
        <v>1469277.65</v>
      </c>
      <c r="D17" s="26">
        <f t="shared" si="0"/>
        <v>1469277.65</v>
      </c>
    </row>
    <row r="18" spans="1:4" s="11" customFormat="1" ht="15.75" customHeight="1">
      <c r="A18" s="27" t="s">
        <v>6</v>
      </c>
      <c r="B18" s="35">
        <v>2210</v>
      </c>
      <c r="C18" s="36">
        <f>3120+2500+1379.4+1580.05</f>
        <v>8579.4499999999989</v>
      </c>
      <c r="D18" s="36">
        <f t="shared" si="0"/>
        <v>8579.4499999999989</v>
      </c>
    </row>
    <row r="19" spans="1:4" s="11" customFormat="1" ht="15.75" customHeight="1">
      <c r="A19" s="27" t="s">
        <v>64</v>
      </c>
      <c r="B19" s="35">
        <v>2210</v>
      </c>
      <c r="C19" s="36">
        <f>10479.95+8151+4433.21+9093.8+8317.5+2215.43+8756.66+1113.44+395.9+2772.5+12880</f>
        <v>68609.390000000014</v>
      </c>
      <c r="D19" s="36">
        <f t="shared" si="0"/>
        <v>68609.390000000014</v>
      </c>
    </row>
    <row r="20" spans="1:4" s="7" customFormat="1" ht="15.75" customHeight="1">
      <c r="A20" s="27" t="s">
        <v>35</v>
      </c>
      <c r="B20" s="35">
        <v>2210</v>
      </c>
      <c r="C20" s="37"/>
      <c r="D20" s="37">
        <f t="shared" si="0"/>
        <v>0</v>
      </c>
    </row>
    <row r="21" spans="1:4" s="12" customFormat="1" ht="15.75" customHeight="1">
      <c r="A21" s="21" t="s">
        <v>37</v>
      </c>
      <c r="B21" s="22">
        <v>2210</v>
      </c>
      <c r="C21" s="37"/>
      <c r="D21" s="37">
        <f t="shared" si="0"/>
        <v>0</v>
      </c>
    </row>
    <row r="22" spans="1:4" s="11" customFormat="1" ht="15.75" customHeight="1">
      <c r="A22" s="21" t="s">
        <v>7</v>
      </c>
      <c r="B22" s="22">
        <v>2240</v>
      </c>
      <c r="C22" s="26">
        <f>2050+1950+2182.38+6382.05+3366+3351.15</f>
        <v>19281.580000000002</v>
      </c>
      <c r="D22" s="26">
        <f t="shared" si="0"/>
        <v>19281.580000000002</v>
      </c>
    </row>
    <row r="23" spans="1:4" s="19" customFormat="1" ht="15.75" customHeight="1">
      <c r="A23" s="21" t="s">
        <v>36</v>
      </c>
      <c r="B23" s="22">
        <v>2240</v>
      </c>
      <c r="C23" s="41">
        <f>100000</f>
        <v>100000</v>
      </c>
      <c r="D23" s="41">
        <f t="shared" si="0"/>
        <v>100000</v>
      </c>
    </row>
    <row r="24" spans="1:4" s="19" customFormat="1" ht="15.75" customHeight="1">
      <c r="A24" s="21" t="s">
        <v>20</v>
      </c>
      <c r="B24" s="22">
        <v>2240</v>
      </c>
      <c r="C24" s="41">
        <f>9070</f>
        <v>9070</v>
      </c>
      <c r="D24" s="41">
        <f t="shared" si="0"/>
        <v>9070</v>
      </c>
    </row>
    <row r="25" spans="1:4" s="19" customFormat="1" ht="29.25" customHeight="1">
      <c r="A25" s="21" t="s">
        <v>63</v>
      </c>
      <c r="B25" s="22">
        <v>2240</v>
      </c>
      <c r="C25" s="26">
        <f>23577.97</f>
        <v>23577.97</v>
      </c>
      <c r="D25" s="26">
        <f t="shared" si="0"/>
        <v>23577.97</v>
      </c>
    </row>
    <row r="26" spans="1:4" s="19" customFormat="1" ht="15.75" customHeight="1">
      <c r="A26" s="21" t="s">
        <v>37</v>
      </c>
      <c r="B26" s="22">
        <v>2240</v>
      </c>
      <c r="C26" s="41">
        <f>5066.05+9999+942.5+3333</f>
        <v>19340.55</v>
      </c>
      <c r="D26" s="41">
        <f t="shared" si="0"/>
        <v>19340.55</v>
      </c>
    </row>
    <row r="27" spans="1:4" s="11" customFormat="1" ht="15.75" customHeight="1">
      <c r="A27" s="21" t="s">
        <v>16</v>
      </c>
      <c r="B27" s="22">
        <v>2270</v>
      </c>
      <c r="C27" s="26">
        <f>C28+C29+C30+C31+C32</f>
        <v>1220818.71</v>
      </c>
      <c r="D27" s="26">
        <f t="shared" si="0"/>
        <v>1220818.71</v>
      </c>
    </row>
    <row r="28" spans="1:4" s="6" customFormat="1" ht="15.75" customHeight="1">
      <c r="A28" s="23" t="s">
        <v>9</v>
      </c>
      <c r="B28" s="24">
        <v>2271</v>
      </c>
      <c r="C28" s="25">
        <f>802302.23+148751.9</f>
        <v>951054.13</v>
      </c>
      <c r="D28" s="25">
        <f t="shared" si="0"/>
        <v>951054.13</v>
      </c>
    </row>
    <row r="29" spans="1:4" s="6" customFormat="1" ht="15.75" customHeight="1">
      <c r="A29" s="23" t="s">
        <v>10</v>
      </c>
      <c r="B29" s="24">
        <v>2272</v>
      </c>
      <c r="C29" s="25">
        <f>51527.47+4709.09</f>
        <v>56236.56</v>
      </c>
      <c r="D29" s="25">
        <f t="shared" si="0"/>
        <v>56236.56</v>
      </c>
    </row>
    <row r="30" spans="1:4" s="6" customFormat="1" ht="15.75" customHeight="1">
      <c r="A30" s="23" t="s">
        <v>11</v>
      </c>
      <c r="B30" s="24">
        <v>2273</v>
      </c>
      <c r="C30" s="25">
        <f>147095.23+56700.86</f>
        <v>203796.09000000003</v>
      </c>
      <c r="D30" s="25">
        <f t="shared" si="0"/>
        <v>203796.09000000003</v>
      </c>
    </row>
    <row r="31" spans="1:4" s="6" customFormat="1" ht="15.75" hidden="1" customHeight="1">
      <c r="A31" s="23" t="s">
        <v>12</v>
      </c>
      <c r="B31" s="24">
        <v>2274</v>
      </c>
      <c r="C31" s="25">
        <v>0</v>
      </c>
      <c r="D31" s="25">
        <f t="shared" si="0"/>
        <v>0</v>
      </c>
    </row>
    <row r="32" spans="1:4" s="6" customFormat="1" ht="15.75" customHeight="1">
      <c r="A32" s="23" t="s">
        <v>8</v>
      </c>
      <c r="B32" s="24">
        <v>2275</v>
      </c>
      <c r="C32" s="25">
        <f>6807.02+2924.91</f>
        <v>9731.93</v>
      </c>
      <c r="D32" s="25">
        <f t="shared" si="0"/>
        <v>9731.93</v>
      </c>
    </row>
    <row r="33" spans="1:4" s="10" customFormat="1" ht="15.75" customHeight="1">
      <c r="A33" s="21" t="s">
        <v>13</v>
      </c>
      <c r="B33" s="22">
        <v>2700</v>
      </c>
      <c r="C33" s="26">
        <f>C34</f>
        <v>3660</v>
      </c>
      <c r="D33" s="26">
        <f t="shared" si="0"/>
        <v>3660</v>
      </c>
    </row>
    <row r="34" spans="1:4" s="6" customFormat="1" ht="15.75" customHeight="1">
      <c r="A34" s="23" t="s">
        <v>14</v>
      </c>
      <c r="B34" s="24">
        <v>2730</v>
      </c>
      <c r="C34" s="25">
        <v>3660</v>
      </c>
      <c r="D34" s="25">
        <f t="shared" si="0"/>
        <v>3660</v>
      </c>
    </row>
    <row r="35" spans="1:4" s="8" customFormat="1" ht="15.75" customHeight="1">
      <c r="A35" s="22" t="s">
        <v>15</v>
      </c>
      <c r="B35" s="22">
        <v>3000</v>
      </c>
      <c r="C35" s="25">
        <v>0</v>
      </c>
      <c r="D35" s="25">
        <f t="shared" si="0"/>
        <v>0</v>
      </c>
    </row>
    <row r="36" spans="1:4" s="6" customFormat="1" ht="15.75" customHeight="1">
      <c r="A36" s="23" t="s">
        <v>17</v>
      </c>
      <c r="B36" s="24">
        <v>3110</v>
      </c>
      <c r="C36" s="25"/>
      <c r="D36" s="25">
        <f t="shared" si="0"/>
        <v>0</v>
      </c>
    </row>
    <row r="37" spans="1:4" s="6" customFormat="1" ht="15.75" customHeight="1" thickBot="1">
      <c r="A37" s="5" t="s">
        <v>18</v>
      </c>
      <c r="B37" s="24">
        <v>3132</v>
      </c>
      <c r="C37" s="25"/>
      <c r="D37" s="25">
        <f t="shared" si="0"/>
        <v>0</v>
      </c>
    </row>
    <row r="38" spans="1:4" s="6" customFormat="1" ht="15" customHeight="1">
      <c r="A38" s="4"/>
    </row>
    <row r="39" spans="1:4" s="6" customFormat="1" ht="35.450000000000003" customHeight="1">
      <c r="C39" s="18"/>
    </row>
    <row r="40" spans="1:4" s="6" customFormat="1" ht="15.75" customHeight="1"/>
    <row r="41" spans="1:4" s="6" customFormat="1" ht="15.75" customHeight="1"/>
    <row r="42" spans="1:4" s="6" customFormat="1" ht="36" customHeight="1"/>
    <row r="43" spans="1:4" s="6" customFormat="1" ht="15.75" customHeight="1"/>
    <row r="44" spans="1:4" s="6" customFormat="1" ht="15.75" customHeight="1"/>
    <row r="45" spans="1:4" s="7" customFormat="1" ht="15.75" customHeight="1"/>
    <row r="46" spans="1:4" s="7" customFormat="1" ht="15.75" customHeight="1"/>
    <row r="47" spans="1:4" s="7" customFormat="1" ht="15.75" customHeight="1"/>
    <row r="48" spans="1:4" s="6" customFormat="1" ht="15.75" customHeight="1"/>
    <row r="49" s="6" customFormat="1" ht="15.75" customHeight="1"/>
    <row r="50" s="6" customFormat="1" ht="15.75" customHeight="1"/>
    <row r="51" s="6" customFormat="1" ht="15.75" customHeight="1"/>
    <row r="52" s="6" customFormat="1" ht="15.75" customHeight="1"/>
    <row r="53" s="6" customFormat="1" ht="15.75" customHeight="1"/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  <row r="66" s="6" customFormat="1" ht="15.75" customHeight="1"/>
    <row r="67" s="6" customFormat="1" ht="15.75" customHeight="1"/>
    <row r="68" s="6" customFormat="1" ht="15.75" customHeight="1"/>
    <row r="69" s="6" customFormat="1" ht="15.75" customHeight="1"/>
    <row r="70" s="6" customFormat="1" ht="15.75" customHeight="1"/>
    <row r="71" s="6" customFormat="1" ht="15.75" customHeight="1"/>
    <row r="72" s="6" customFormat="1" ht="15.75" customHeight="1"/>
    <row r="73" s="6" customFormat="1" ht="15.75" customHeight="1"/>
    <row r="74" s="6" customFormat="1" ht="25.5" customHeight="1"/>
    <row r="75" s="6" customFormat="1" ht="15.75" customHeight="1"/>
    <row r="76" s="6" customFormat="1" ht="15.75" customHeight="1"/>
    <row r="77" s="6" customFormat="1" ht="42.6" customHeight="1"/>
    <row r="78" s="6" customFormat="1" ht="15.75" customHeight="1"/>
    <row r="79" s="6" customFormat="1" ht="15.75" customHeight="1"/>
    <row r="80" s="6" customFormat="1" ht="36" customHeight="1"/>
    <row r="81" s="6" customFormat="1" ht="15.75" customHeight="1"/>
    <row r="82" s="6" customFormat="1" ht="15.75" customHeight="1"/>
    <row r="83" s="7" customFormat="1" ht="15.75" customHeight="1"/>
    <row r="84" s="7" customFormat="1" ht="15.75" customHeight="1"/>
    <row r="85" s="7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25.5" customHeight="1"/>
    <row r="113" s="6" customFormat="1" ht="15.75" customHeight="1"/>
    <row r="114" s="6" customFormat="1" ht="15.75" customHeight="1"/>
    <row r="115" s="6" customFormat="1" ht="39" customHeight="1"/>
    <row r="116" s="6" customFormat="1" ht="15.75" customHeight="1"/>
    <row r="117" s="6" customFormat="1" ht="15.75" customHeight="1"/>
    <row r="118" s="6" customFormat="1" ht="36" customHeight="1"/>
    <row r="119" s="6" customFormat="1" ht="15.75" customHeight="1"/>
    <row r="120" s="6" customFormat="1" ht="15.75" customHeight="1"/>
    <row r="121" s="7" customFormat="1" ht="15.75" customHeight="1"/>
    <row r="122" s="7" customFormat="1" ht="15.75" customHeight="1"/>
    <row r="123" s="7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6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6" customFormat="1" ht="15.75" customHeight="1"/>
    <row r="145" s="6" customFormat="1" ht="15.75" customHeight="1"/>
    <row r="146" s="6" customFormat="1" ht="15.75" customHeight="1"/>
    <row r="147" s="6" customFormat="1" ht="15.75" customHeight="1"/>
    <row r="148" s="6" customFormat="1" ht="15.75" customHeight="1"/>
    <row r="149" s="6" customFormat="1" ht="15.75" customHeight="1"/>
    <row r="150" s="6" customFormat="1" ht="25.5" customHeight="1"/>
    <row r="151" s="6" customFormat="1" ht="15.75" customHeight="1"/>
    <row r="152" s="6" customFormat="1" ht="15.75" customHeight="1"/>
    <row r="153" s="6" customFormat="1" ht="43.15" customHeight="1"/>
    <row r="154" s="6" customFormat="1" ht="20.25" customHeight="1"/>
    <row r="155" s="6" customFormat="1" ht="15.75" customHeight="1"/>
    <row r="156" s="6" customFormat="1" ht="36" customHeight="1"/>
    <row r="157" s="6" customFormat="1" ht="15.75" customHeight="1"/>
    <row r="158" s="6" customFormat="1" ht="15.75" customHeight="1"/>
    <row r="159" s="7" customFormat="1" ht="15.75" customHeight="1"/>
    <row r="160" s="7" customFormat="1" ht="15.75" customHeight="1"/>
    <row r="161" s="7" customFormat="1" ht="15.75" customHeight="1"/>
    <row r="162" s="6" customFormat="1" ht="15.75" customHeight="1"/>
    <row r="163" s="6" customFormat="1" ht="15.75" customHeight="1"/>
    <row r="164" s="6" customFormat="1" ht="15.75" customHeight="1"/>
    <row r="165" s="6" customFormat="1" ht="15.75" customHeight="1"/>
    <row r="166" s="6" customFormat="1" ht="15.75" customHeight="1"/>
    <row r="167" s="6" customFormat="1" ht="15.75" customHeight="1"/>
    <row r="168" s="6" customFormat="1" ht="15.75" customHeight="1"/>
    <row r="169" s="6" customFormat="1" ht="15.75" customHeight="1"/>
    <row r="170" s="6" customFormat="1" ht="15.75" customHeight="1"/>
    <row r="171" s="6" customFormat="1" ht="15.75" customHeight="1"/>
    <row r="172" s="6" customFormat="1" ht="15.75" customHeight="1"/>
    <row r="173" s="6" customFormat="1" ht="15.75" customHeight="1"/>
    <row r="174" s="6" customFormat="1" ht="15.75" customHeight="1"/>
    <row r="175" s="6" customFormat="1" ht="15.75" customHeight="1"/>
    <row r="176" s="6" customFormat="1" ht="15.75" customHeight="1"/>
    <row r="177" s="6" customFormat="1" ht="15.75" customHeight="1"/>
    <row r="178" s="6" customFormat="1" ht="15.75" customHeight="1"/>
    <row r="179" s="6" customFormat="1" ht="15.75" customHeight="1"/>
    <row r="180" s="6" customFormat="1" ht="15.75" customHeight="1"/>
    <row r="181" s="6" customFormat="1" ht="15.75" customHeight="1"/>
    <row r="182" s="6" customFormat="1" ht="15.75" customHeight="1"/>
    <row r="183" s="6" customFormat="1" ht="15.75" customHeight="1"/>
    <row r="184" s="6" customFormat="1" ht="15.75" customHeight="1"/>
    <row r="185" s="6" customFormat="1" ht="15.75" customHeight="1"/>
    <row r="186" s="6" customFormat="1" ht="15.75" customHeight="1"/>
    <row r="187" s="6" customFormat="1" ht="15.75" customHeight="1"/>
    <row r="188" s="6" customFormat="1" ht="25.5" customHeight="1"/>
    <row r="189" s="6" customFormat="1" ht="15.75" customHeight="1"/>
    <row r="190" s="6" customFormat="1" ht="16.149999999999999" customHeight="1"/>
    <row r="191" s="6" customFormat="1" ht="48" customHeight="1"/>
    <row r="192" s="6" customFormat="1" ht="15.75" customHeight="1"/>
    <row r="193" s="6" customFormat="1" ht="15.75" customHeight="1"/>
    <row r="194" s="6" customFormat="1" ht="36" customHeight="1"/>
    <row r="195" s="6" customFormat="1" ht="15.75" customHeight="1"/>
    <row r="196" s="6" customFormat="1" ht="15.75" customHeight="1"/>
    <row r="197" s="7" customFormat="1" ht="15.75" customHeight="1"/>
    <row r="198" s="7" customFormat="1" ht="15.75" customHeight="1"/>
    <row r="199" s="7" customFormat="1" ht="15.75" customHeight="1"/>
    <row r="200" s="6" customFormat="1" ht="15.75" customHeight="1"/>
    <row r="201" s="6" customFormat="1" ht="15.75" customHeight="1"/>
    <row r="202" s="6" customFormat="1" ht="15.75" customHeight="1"/>
    <row r="203" s="6" customFormat="1" ht="15.75" customHeight="1"/>
    <row r="204" s="6" customFormat="1" ht="15.75" customHeight="1"/>
    <row r="205" s="6" customFormat="1" ht="15.75" customHeight="1"/>
    <row r="206" s="6" customFormat="1" ht="15.75" customHeight="1"/>
    <row r="207" s="6" customFormat="1" ht="15.75" customHeight="1"/>
    <row r="208" s="6" customFormat="1" ht="15.75" customHeight="1"/>
    <row r="209" s="6" customFormat="1" ht="15.75" customHeight="1"/>
    <row r="210" s="6" customFormat="1" ht="15.75" customHeight="1"/>
    <row r="211" s="6" customFormat="1" ht="15.75" customHeight="1"/>
    <row r="212" s="6" customFormat="1" ht="15.75" customHeight="1"/>
    <row r="213" s="6" customFormat="1" ht="15.75" customHeight="1"/>
    <row r="214" s="6" customFormat="1" ht="15.75" customHeight="1"/>
    <row r="215" s="6" customFormat="1" ht="15.75" customHeight="1"/>
    <row r="216" s="6" customFormat="1" ht="15.75" customHeight="1"/>
    <row r="217" s="6" customFormat="1" ht="15.75" customHeight="1"/>
    <row r="218" s="6" customFormat="1" ht="15.75" customHeight="1"/>
    <row r="219" s="6" customFormat="1" ht="15.75" customHeight="1"/>
    <row r="220" s="6" customFormat="1" ht="15.75" customHeight="1"/>
    <row r="221" s="6" customFormat="1" ht="15.75" customHeight="1"/>
    <row r="222" s="6" customFormat="1" ht="15.75" customHeight="1"/>
    <row r="223" s="6" customFormat="1" ht="15.75" customHeight="1"/>
    <row r="224" s="6" customFormat="1" ht="15.75" customHeight="1"/>
    <row r="225" s="6" customFormat="1" ht="15.75" customHeight="1"/>
    <row r="226" s="6" customFormat="1" ht="25.5" customHeight="1"/>
    <row r="227" s="6" customFormat="1" ht="15.75" customHeight="1"/>
    <row r="228" s="6" customFormat="1" ht="15.75" customHeight="1"/>
    <row r="229" s="6" customFormat="1" ht="50.45" customHeight="1"/>
    <row r="230" s="6" customFormat="1" ht="15.75" customHeight="1"/>
    <row r="231" s="6" customFormat="1" ht="15.75" customHeight="1"/>
    <row r="232" s="6" customFormat="1" ht="36" customHeight="1"/>
    <row r="233" s="6" customFormat="1" ht="15.75" customHeight="1"/>
    <row r="234" s="6" customFormat="1" ht="15.75" customHeight="1"/>
    <row r="235" s="7" customFormat="1" ht="15.75" customHeight="1"/>
    <row r="236" s="7" customFormat="1" ht="15.75" customHeight="1"/>
    <row r="237" s="7" customFormat="1" ht="15.75" customHeight="1"/>
    <row r="238" s="6" customFormat="1" ht="15.75" customHeight="1"/>
    <row r="239" s="6" customFormat="1" ht="15.75" customHeight="1"/>
    <row r="240" s="6" customFormat="1" ht="15.75" customHeight="1"/>
    <row r="241" s="6" customFormat="1" ht="15.75" customHeight="1"/>
    <row r="242" s="6" customFormat="1" ht="15.75" customHeight="1"/>
    <row r="243" s="6" customFormat="1" ht="15.75" customHeight="1"/>
    <row r="244" s="6" customFormat="1" ht="15.75" customHeight="1"/>
    <row r="245" s="6" customFormat="1" ht="15.75" customHeight="1"/>
    <row r="246" s="6" customFormat="1" ht="15.75" customHeight="1"/>
    <row r="247" s="6" customFormat="1" ht="15.75" customHeight="1"/>
    <row r="248" s="6" customFormat="1" ht="15.75" customHeight="1"/>
    <row r="249" s="6" customFormat="1" ht="15.75" customHeight="1"/>
    <row r="250" s="6" customFormat="1" ht="15.75" customHeight="1"/>
    <row r="251" s="6" customFormat="1" ht="15.75" customHeight="1"/>
    <row r="252" s="6" customFormat="1" ht="15.75" customHeight="1"/>
    <row r="253" s="6" customFormat="1" ht="15.75" customHeight="1"/>
    <row r="254" s="6" customFormat="1" ht="15.75" customHeight="1"/>
    <row r="255" s="6" customFormat="1" ht="15.75" customHeight="1"/>
    <row r="256" s="6" customFormat="1" ht="15.75" customHeight="1"/>
    <row r="257" s="6" customFormat="1" ht="15.75" customHeight="1"/>
    <row r="258" s="6" customFormat="1" ht="15.75" customHeight="1"/>
    <row r="259" s="6" customFormat="1" ht="15.75" customHeight="1"/>
    <row r="260" s="6" customFormat="1" ht="15.75" customHeight="1"/>
    <row r="261" s="6" customFormat="1" ht="15.75" customHeight="1"/>
    <row r="262" s="6" customFormat="1" ht="15.75" customHeight="1"/>
    <row r="263" s="6" customFormat="1" ht="15.75" customHeight="1"/>
    <row r="264" s="6" customFormat="1" ht="25.5" customHeight="1"/>
    <row r="265" s="6" customFormat="1" ht="15.75" customHeight="1"/>
    <row r="266" s="6" customFormat="1" ht="15.75" customHeight="1"/>
    <row r="267" s="6" customFormat="1" ht="44.45" customHeight="1"/>
    <row r="268" s="6" customFormat="1" ht="15.75" customHeight="1"/>
    <row r="269" s="6" customFormat="1" ht="15.75" customHeight="1"/>
    <row r="270" s="6" customFormat="1" ht="36" customHeight="1"/>
    <row r="271" s="6" customFormat="1" ht="15.75" customHeight="1"/>
    <row r="272" s="6" customFormat="1" ht="15.75" customHeight="1"/>
    <row r="273" s="7" customFormat="1" ht="15.75" customHeight="1"/>
    <row r="274" s="7" customFormat="1" ht="15.75" customHeight="1"/>
    <row r="275" s="7" customFormat="1" ht="15.75" customHeight="1"/>
    <row r="276" s="6" customFormat="1" ht="15.75" customHeight="1"/>
    <row r="277" s="6" customFormat="1" ht="15.75" customHeight="1"/>
    <row r="278" s="6" customFormat="1" ht="15.75" customHeight="1"/>
    <row r="279" s="6" customFormat="1" ht="15.75" customHeight="1"/>
    <row r="280" s="6" customFormat="1" ht="15.75" customHeight="1"/>
    <row r="281" s="6" customFormat="1" ht="15.75" customHeight="1"/>
    <row r="282" s="6" customFormat="1" ht="15.75" customHeight="1"/>
    <row r="283" s="6" customFormat="1" ht="15.75" customHeight="1"/>
    <row r="284" s="6" customFormat="1" ht="15.75" customHeight="1"/>
    <row r="285" s="6" customFormat="1" ht="15.75" customHeight="1"/>
    <row r="286" s="6" customFormat="1" ht="15.75" customHeight="1"/>
    <row r="287" s="6" customFormat="1" ht="15.75" customHeight="1"/>
    <row r="288" s="6" customFormat="1" ht="15.75" customHeight="1"/>
    <row r="289" s="6" customFormat="1" ht="15.75" customHeight="1"/>
    <row r="290" s="6" customFormat="1" ht="15.75" customHeight="1"/>
    <row r="291" s="6" customFormat="1" ht="15.75" customHeight="1"/>
    <row r="292" s="6" customFormat="1" ht="15.75" customHeight="1"/>
    <row r="293" s="6" customFormat="1" ht="15.75" customHeight="1"/>
    <row r="294" s="6" customFormat="1" ht="15.75" customHeight="1"/>
    <row r="295" s="6" customFormat="1" ht="15.75" customHeight="1"/>
    <row r="296" s="6" customFormat="1" ht="15.75" customHeight="1"/>
    <row r="297" s="6" customFormat="1" ht="15.75" customHeight="1"/>
    <row r="298" s="6" customFormat="1" ht="15.75" customHeight="1"/>
    <row r="299" s="6" customFormat="1" ht="15.75" customHeight="1"/>
    <row r="300" s="6" customFormat="1" ht="15.75" customHeight="1"/>
    <row r="301" s="6" customFormat="1" ht="15.75" customHeight="1"/>
    <row r="302" s="6" customFormat="1" ht="25.5" customHeight="1"/>
    <row r="303" s="6" customFormat="1" ht="15.75" customHeight="1"/>
    <row r="304" s="6" customFormat="1" ht="15.75" customHeight="1"/>
    <row r="305" s="6" customFormat="1" ht="46.9" customHeight="1"/>
    <row r="306" s="6" customFormat="1" ht="15.75" customHeight="1"/>
    <row r="307" s="6" customFormat="1" ht="15.75" customHeight="1"/>
    <row r="308" s="6" customFormat="1" ht="36" customHeight="1"/>
    <row r="309" s="6" customFormat="1" ht="15.75" customHeight="1"/>
    <row r="310" s="6" customFormat="1" ht="15.75" customHeight="1"/>
    <row r="311" s="7" customFormat="1" ht="15.75" customHeight="1"/>
    <row r="312" s="7" customFormat="1" ht="15.75" customHeight="1"/>
    <row r="313" s="7" customFormat="1" ht="15.75" customHeight="1"/>
    <row r="314" s="6" customFormat="1" ht="15.75" customHeight="1"/>
    <row r="315" s="6" customFormat="1" ht="15.75" customHeight="1"/>
    <row r="316" s="6" customFormat="1" ht="15.75" customHeight="1"/>
    <row r="317" s="6" customFormat="1" ht="15.75" customHeight="1"/>
    <row r="318" s="6" customFormat="1" ht="15.75" customHeight="1"/>
    <row r="319" s="6" customFormat="1" ht="15.75" customHeight="1"/>
    <row r="320" s="6" customFormat="1" ht="15.75" customHeight="1"/>
    <row r="321" s="6" customFormat="1" ht="15.75" customHeight="1"/>
    <row r="322" s="6" customFormat="1" ht="15.75" customHeight="1"/>
    <row r="323" s="6" customFormat="1" ht="15.75" customHeight="1"/>
    <row r="324" s="6" customFormat="1" ht="15.75" customHeight="1"/>
    <row r="325" s="6" customFormat="1" ht="15.75" customHeight="1"/>
    <row r="326" s="6" customFormat="1" ht="15.75" customHeight="1"/>
    <row r="327" s="6" customFormat="1" ht="15.75" customHeight="1"/>
    <row r="328" s="6" customFormat="1" ht="15.75" customHeight="1"/>
    <row r="329" s="6" customFormat="1" ht="15.75" customHeight="1"/>
    <row r="330" s="6" customFormat="1" ht="15.75" customHeight="1"/>
    <row r="331" s="6" customFormat="1" ht="15.75" customHeight="1"/>
    <row r="332" s="6" customFormat="1" ht="15.75" customHeight="1"/>
    <row r="333" s="6" customFormat="1" ht="15.75" customHeight="1"/>
    <row r="334" s="6" customFormat="1" ht="15.75" customHeight="1"/>
    <row r="335" s="6" customFormat="1" ht="15.75" customHeight="1"/>
    <row r="336" s="6" customFormat="1" ht="15.75" customHeight="1"/>
    <row r="337" s="6" customFormat="1" ht="15.75" customHeight="1"/>
    <row r="338" s="6" customFormat="1" ht="15.75" customHeight="1"/>
    <row r="339" s="6" customFormat="1" ht="15.75" customHeight="1"/>
    <row r="340" s="6" customFormat="1" ht="25.5" customHeight="1"/>
    <row r="341" s="6" customFormat="1" ht="15.75" customHeight="1"/>
    <row r="342" s="6" customFormat="1" ht="15.75" customHeight="1"/>
    <row r="343" s="6" customFormat="1" ht="51" customHeight="1"/>
    <row r="344" s="6" customFormat="1" ht="15.75" customHeight="1"/>
    <row r="345" s="6" customFormat="1" ht="15.75" customHeight="1"/>
    <row r="346" s="6" customFormat="1" ht="36" customHeight="1"/>
    <row r="347" s="6" customFormat="1" ht="15.75" customHeight="1"/>
    <row r="348" s="6" customFormat="1" ht="15.75" customHeight="1"/>
    <row r="349" s="7" customFormat="1" ht="15.75" customHeight="1"/>
    <row r="350" s="7" customFormat="1" ht="15.75" customHeight="1"/>
    <row r="351" s="7" customFormat="1" ht="15.75" customHeight="1"/>
    <row r="352" s="6" customFormat="1" ht="15.75" customHeight="1"/>
    <row r="353" s="6" customFormat="1" ht="15.75" customHeight="1"/>
    <row r="354" s="6" customFormat="1" ht="15.75" customHeight="1"/>
    <row r="355" s="6" customFormat="1" ht="15.75" customHeight="1"/>
    <row r="356" s="6" customFormat="1" ht="15.75" customHeight="1"/>
    <row r="357" s="6" customFormat="1" ht="15.75" customHeight="1"/>
    <row r="358" s="6" customFormat="1" ht="15.75" customHeight="1"/>
    <row r="359" s="6" customFormat="1" ht="15.75" customHeight="1"/>
    <row r="360" s="6" customFormat="1" ht="15.75" customHeight="1"/>
    <row r="361" s="6" customFormat="1" ht="15.75" customHeight="1"/>
    <row r="362" s="6" customFormat="1" ht="15.75" customHeight="1"/>
    <row r="363" s="6" customFormat="1" ht="15.75" customHeight="1"/>
    <row r="364" s="6" customFormat="1" ht="15.75" customHeight="1"/>
    <row r="365" s="6" customFormat="1" ht="15.75" customHeight="1"/>
    <row r="366" s="6" customFormat="1" ht="15.75" customHeight="1"/>
    <row r="367" s="6" customFormat="1" ht="15.75" customHeight="1"/>
    <row r="368" s="6" customFormat="1" ht="15.75" customHeight="1"/>
    <row r="369" s="6" customFormat="1" ht="15.75" customHeight="1"/>
    <row r="370" s="6" customFormat="1" ht="15.75" customHeight="1"/>
    <row r="371" s="6" customFormat="1" ht="15.75" customHeight="1"/>
    <row r="372" s="6" customFormat="1" ht="15.75" customHeight="1"/>
    <row r="373" s="6" customFormat="1" ht="15.75" customHeight="1"/>
    <row r="374" s="6" customFormat="1" ht="15.75" customHeight="1"/>
    <row r="375" s="6" customFormat="1" ht="15.75" customHeight="1"/>
    <row r="376" s="6" customFormat="1" ht="15.75" customHeight="1"/>
    <row r="377" s="6" customFormat="1" ht="15.75" customHeight="1"/>
    <row r="378" s="6" customFormat="1" ht="25.5" customHeight="1"/>
    <row r="379" s="6" customFormat="1" ht="15.75" customHeight="1"/>
    <row r="380" s="6" customFormat="1" ht="15.75" customHeight="1"/>
    <row r="381" s="6" customFormat="1" ht="51" customHeight="1"/>
    <row r="382" s="6" customFormat="1" ht="15.75" customHeight="1"/>
    <row r="383" s="6" customFormat="1" ht="15.75" customHeight="1"/>
    <row r="384" s="6" customFormat="1" ht="36" customHeight="1"/>
    <row r="385" s="6" customFormat="1" ht="15.75" customHeight="1"/>
    <row r="386" s="6" customFormat="1" ht="15.75" customHeight="1"/>
    <row r="387" s="7" customFormat="1" ht="15.75" customHeight="1"/>
    <row r="388" s="7" customFormat="1" ht="15.75" customHeight="1"/>
    <row r="389" s="7" customFormat="1" ht="15.75" customHeight="1"/>
    <row r="390" s="6" customFormat="1" ht="15.75" customHeight="1"/>
    <row r="391" s="6" customFormat="1" ht="15.75" customHeight="1"/>
    <row r="392" s="6" customFormat="1" ht="15.75" customHeight="1"/>
    <row r="393" s="6" customFormat="1" ht="15.75" customHeight="1"/>
    <row r="394" s="6" customFormat="1" ht="15.75" customHeight="1"/>
    <row r="395" s="6" customFormat="1" ht="15.75" customHeight="1"/>
    <row r="396" s="6" customFormat="1" ht="15.75" customHeight="1"/>
    <row r="397" s="6" customFormat="1" ht="15.75" customHeight="1"/>
    <row r="398" s="6" customFormat="1" ht="15.75" customHeight="1"/>
    <row r="399" s="6" customFormat="1" ht="15.75" customHeight="1"/>
    <row r="400" s="6" customFormat="1" ht="15.75" customHeight="1"/>
    <row r="401" s="6" customFormat="1" ht="15.75" customHeight="1"/>
    <row r="402" s="6" customFormat="1" ht="15.75" customHeight="1"/>
    <row r="403" s="6" customFormat="1" ht="15.75" customHeight="1"/>
    <row r="404" s="6" customFormat="1" ht="15.75" customHeight="1"/>
    <row r="405" s="6" customFormat="1" ht="15.75" customHeight="1"/>
    <row r="406" s="6" customFormat="1" ht="15.75" customHeight="1"/>
    <row r="407" s="6" customFormat="1" ht="15.75" customHeight="1"/>
    <row r="408" s="6" customFormat="1" ht="15.75" customHeight="1"/>
    <row r="409" s="6" customFormat="1" ht="15.75" customHeight="1"/>
    <row r="410" s="6" customFormat="1" ht="15.75" customHeight="1"/>
    <row r="411" s="6" customFormat="1" ht="15.75" customHeight="1"/>
    <row r="412" s="6" customFormat="1" ht="15.75" customHeight="1"/>
    <row r="413" s="6" customFormat="1" ht="15.75" customHeight="1"/>
    <row r="414" s="6" customFormat="1" ht="15.75" customHeight="1"/>
    <row r="415" s="6" customFormat="1" ht="15.75" customHeight="1"/>
    <row r="416" s="6" customFormat="1" ht="25.5" customHeight="1"/>
    <row r="417" s="6" customFormat="1" ht="15.75" customHeight="1"/>
    <row r="418" s="6" customFormat="1" ht="15.75" customHeight="1"/>
    <row r="419" s="6" customFormat="1" ht="61.15" customHeight="1"/>
    <row r="420" s="6" customFormat="1" ht="15.75" customHeight="1"/>
    <row r="421" s="6" customFormat="1" ht="15.75" customHeight="1"/>
    <row r="422" s="6" customFormat="1" ht="36" customHeight="1"/>
    <row r="423" s="6" customFormat="1" ht="15.75" customHeight="1"/>
    <row r="424" s="6" customFormat="1" ht="15.75" customHeight="1"/>
    <row r="425" s="7" customFormat="1" ht="15.75" customHeight="1"/>
    <row r="426" s="7" customFormat="1" ht="15.75" customHeight="1"/>
    <row r="427" s="7" customFormat="1" ht="15.75" customHeight="1"/>
    <row r="428" s="6" customFormat="1" ht="15.75" customHeight="1"/>
    <row r="429" s="6" customFormat="1" ht="15.75" customHeight="1"/>
    <row r="430" s="6" customFormat="1" ht="15.75" customHeight="1"/>
    <row r="431" s="6" customFormat="1" ht="15.75" customHeight="1"/>
    <row r="432" s="6" customFormat="1" ht="15.75" customHeight="1"/>
    <row r="433" s="6" customFormat="1" ht="15.75" customHeight="1"/>
    <row r="434" s="6" customFormat="1" ht="15.75" customHeight="1"/>
    <row r="435" s="6" customFormat="1" ht="15.75" customHeight="1"/>
    <row r="436" s="6" customFormat="1" ht="15.75" customHeight="1"/>
    <row r="437" s="6" customFormat="1" ht="15.75" customHeight="1"/>
    <row r="438" s="6" customFormat="1" ht="15.75" customHeight="1"/>
    <row r="439" s="6" customFormat="1" ht="15.75" customHeight="1"/>
    <row r="440" s="6" customFormat="1" ht="15.75" customHeight="1"/>
    <row r="441" s="6" customFormat="1" ht="15.75" customHeight="1"/>
    <row r="442" s="6" customFormat="1" ht="15.75" customHeight="1"/>
    <row r="443" s="6" customFormat="1" ht="15.75" customHeight="1"/>
    <row r="444" s="6" customFormat="1" ht="15.75" customHeight="1"/>
    <row r="445" s="6" customFormat="1" ht="15.75" customHeight="1"/>
    <row r="446" s="6" customFormat="1" ht="15.75" customHeight="1"/>
    <row r="447" s="6" customFormat="1" ht="15.75" customHeight="1"/>
    <row r="448" s="6" customFormat="1" ht="15.75" customHeight="1"/>
    <row r="449" s="6" customFormat="1" ht="15.75" customHeight="1"/>
    <row r="450" s="6" customFormat="1" ht="15.75" customHeight="1"/>
    <row r="451" s="6" customFormat="1" ht="15.75" customHeight="1"/>
    <row r="452" s="6" customFormat="1" ht="15.75" customHeight="1"/>
    <row r="453" s="6" customFormat="1" ht="15.75" customHeight="1"/>
    <row r="454" s="6" customFormat="1" ht="25.5" customHeight="1"/>
    <row r="455" s="6" customFormat="1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</sheetData>
  <mergeCells count="6">
    <mergeCell ref="B5:D5"/>
    <mergeCell ref="A12:D12"/>
    <mergeCell ref="A1:D1"/>
    <mergeCell ref="A3:D3"/>
    <mergeCell ref="A2:D2"/>
    <mergeCell ref="B9:D9"/>
  </mergeCells>
  <pageMargins left="0.70866141732283472" right="0.70866141732283472" top="0.55118110236220474" bottom="0.35433070866141736" header="0" footer="0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27"/>
  <sheetViews>
    <sheetView view="pageBreakPreview" zoomScaleNormal="7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45" customHeight="1">
      <c r="A5" s="16" t="s">
        <v>23</v>
      </c>
      <c r="B5" s="42" t="s">
        <v>47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C16+C35</f>
        <v>1301457.22</v>
      </c>
      <c r="D15" s="26">
        <f>C15</f>
        <v>1301457.22</v>
      </c>
    </row>
    <row r="16" spans="1:4" s="8" customFormat="1" ht="24">
      <c r="A16" s="24" t="s">
        <v>19</v>
      </c>
      <c r="B16" s="22">
        <v>2000</v>
      </c>
      <c r="C16" s="26">
        <f>C17+C33</f>
        <v>1301457.22</v>
      </c>
      <c r="D16" s="26">
        <f t="shared" ref="D16:D37" si="0">C16</f>
        <v>1301457.22</v>
      </c>
    </row>
    <row r="17" spans="1:4" s="10" customFormat="1">
      <c r="A17" s="21" t="s">
        <v>5</v>
      </c>
      <c r="B17" s="22">
        <v>2200</v>
      </c>
      <c r="C17" s="26">
        <f>C18+C20+C21+C22+C23+C24+C26+C27+C19+C24+C25</f>
        <v>1301457.22</v>
      </c>
      <c r="D17" s="26">
        <f t="shared" si="0"/>
        <v>1301457.22</v>
      </c>
    </row>
    <row r="18" spans="1:4" s="11" customFormat="1">
      <c r="A18" s="27" t="s">
        <v>6</v>
      </c>
      <c r="B18" s="35">
        <v>2210</v>
      </c>
      <c r="C18" s="36">
        <f>1950+1760+1379.4+1580.05</f>
        <v>6669.45</v>
      </c>
      <c r="D18" s="36">
        <f t="shared" si="0"/>
        <v>6669.45</v>
      </c>
    </row>
    <row r="19" spans="1:4" s="11" customFormat="1">
      <c r="A19" s="27" t="s">
        <v>64</v>
      </c>
      <c r="B19" s="35">
        <v>2210</v>
      </c>
      <c r="C19" s="36">
        <f>4191.98+8151+443.32+454.69+2772.5+1462.18+10216.13+3150+556.72+395.9+1386.25+3220</f>
        <v>36400.67</v>
      </c>
      <c r="D19" s="36">
        <f t="shared" si="0"/>
        <v>36400.67</v>
      </c>
    </row>
    <row r="20" spans="1:4" s="7" customFormat="1">
      <c r="A20" s="27" t="s">
        <v>35</v>
      </c>
      <c r="B20" s="28">
        <v>2210</v>
      </c>
      <c r="C20" s="30"/>
      <c r="D20" s="30">
        <f t="shared" si="0"/>
        <v>0</v>
      </c>
    </row>
    <row r="21" spans="1:4" s="12" customFormat="1">
      <c r="A21" s="21" t="s">
        <v>37</v>
      </c>
      <c r="B21" s="22">
        <v>2210</v>
      </c>
      <c r="C21" s="30"/>
      <c r="D21" s="30">
        <f t="shared" si="0"/>
        <v>0</v>
      </c>
    </row>
    <row r="22" spans="1:4" s="11" customFormat="1">
      <c r="A22" s="21" t="s">
        <v>7</v>
      </c>
      <c r="B22" s="22">
        <v>2240</v>
      </c>
      <c r="C22" s="26">
        <f>1750+1250+686.94+259.2+6427.05+15850.11+3351.15</f>
        <v>29574.450000000004</v>
      </c>
      <c r="D22" s="26">
        <f t="shared" si="0"/>
        <v>29574.450000000004</v>
      </c>
    </row>
    <row r="23" spans="1:4">
      <c r="A23" s="21" t="s">
        <v>36</v>
      </c>
      <c r="B23" s="22">
        <v>2240</v>
      </c>
      <c r="C23" s="32">
        <f>49993.44</f>
        <v>49993.440000000002</v>
      </c>
      <c r="D23" s="32">
        <f t="shared" si="0"/>
        <v>49993.440000000002</v>
      </c>
    </row>
    <row r="24" spans="1:4">
      <c r="A24" s="21" t="s">
        <v>20</v>
      </c>
      <c r="B24" s="22">
        <v>2240</v>
      </c>
      <c r="C24" s="32"/>
      <c r="D24" s="32">
        <f t="shared" si="0"/>
        <v>0</v>
      </c>
    </row>
    <row r="25" spans="1:4" s="34" customFormat="1" ht="21.75">
      <c r="A25" s="21" t="s">
        <v>63</v>
      </c>
      <c r="B25" s="22">
        <v>2240</v>
      </c>
      <c r="C25" s="26">
        <f>62180.58</f>
        <v>62180.58</v>
      </c>
      <c r="D25" s="26">
        <f t="shared" si="0"/>
        <v>62180.58</v>
      </c>
    </row>
    <row r="26" spans="1:4">
      <c r="A26" s="21" t="s">
        <v>37</v>
      </c>
      <c r="B26" s="22">
        <v>2240</v>
      </c>
      <c r="C26" s="32">
        <f>2002.91+910</f>
        <v>2912.91</v>
      </c>
      <c r="D26" s="32">
        <f t="shared" si="0"/>
        <v>2912.91</v>
      </c>
    </row>
    <row r="27" spans="1:4" s="11" customFormat="1">
      <c r="A27" s="21" t="s">
        <v>16</v>
      </c>
      <c r="B27" s="22">
        <v>2270</v>
      </c>
      <c r="C27" s="26">
        <f>SUM(C28:C32)</f>
        <v>1113725.72</v>
      </c>
      <c r="D27" s="26">
        <f t="shared" si="0"/>
        <v>1113725.72</v>
      </c>
    </row>
    <row r="28" spans="1:4">
      <c r="A28" s="23" t="s">
        <v>9</v>
      </c>
      <c r="B28" s="24">
        <v>2271</v>
      </c>
      <c r="C28" s="25">
        <f>721852.36+185952.5</f>
        <v>907804.86</v>
      </c>
      <c r="D28" s="25">
        <f t="shared" si="0"/>
        <v>907804.86</v>
      </c>
    </row>
    <row r="29" spans="1:4">
      <c r="A29" s="23" t="s">
        <v>10</v>
      </c>
      <c r="B29" s="24">
        <v>2272</v>
      </c>
      <c r="C29" s="25">
        <f>8510.4+1475.14</f>
        <v>9985.5399999999991</v>
      </c>
      <c r="D29" s="25">
        <f t="shared" si="0"/>
        <v>9985.5399999999991</v>
      </c>
    </row>
    <row r="30" spans="1:4">
      <c r="A30" s="23" t="s">
        <v>11</v>
      </c>
      <c r="B30" s="24">
        <v>2273</v>
      </c>
      <c r="C30" s="25">
        <f>146831.54+46464.49</f>
        <v>193296.03</v>
      </c>
      <c r="D30" s="25">
        <f t="shared" si="0"/>
        <v>193296.03</v>
      </c>
    </row>
    <row r="31" spans="1:4" hidden="1">
      <c r="A31" s="23" t="s">
        <v>12</v>
      </c>
      <c r="B31" s="24">
        <v>2274</v>
      </c>
      <c r="C31" s="25"/>
      <c r="D31" s="25">
        <f t="shared" si="0"/>
        <v>0</v>
      </c>
    </row>
    <row r="32" spans="1:4">
      <c r="A32" s="23" t="s">
        <v>8</v>
      </c>
      <c r="B32" s="24">
        <v>2275</v>
      </c>
      <c r="C32" s="31">
        <f>1701.74+937.55</f>
        <v>2639.29</v>
      </c>
      <c r="D32" s="31">
        <f t="shared" si="0"/>
        <v>2639.29</v>
      </c>
    </row>
    <row r="33" spans="1:4" s="10" customFormat="1">
      <c r="A33" s="21" t="s">
        <v>13</v>
      </c>
      <c r="B33" s="22">
        <v>2700</v>
      </c>
      <c r="C33" s="25">
        <f>C34</f>
        <v>0</v>
      </c>
      <c r="D33" s="25">
        <f t="shared" si="0"/>
        <v>0</v>
      </c>
    </row>
    <row r="34" spans="1:4">
      <c r="A34" s="23" t="s">
        <v>14</v>
      </c>
      <c r="B34" s="24">
        <v>2730</v>
      </c>
      <c r="C34" s="25"/>
      <c r="D34" s="25">
        <f t="shared" si="0"/>
        <v>0</v>
      </c>
    </row>
    <row r="35" spans="1:4" s="8" customFormat="1">
      <c r="A35" s="22" t="s">
        <v>15</v>
      </c>
      <c r="B35" s="22">
        <v>3000</v>
      </c>
      <c r="C35" s="25">
        <f>C36+C37</f>
        <v>0</v>
      </c>
      <c r="D35" s="25">
        <f t="shared" si="0"/>
        <v>0</v>
      </c>
    </row>
    <row r="36" spans="1:4">
      <c r="A36" s="23" t="s">
        <v>17</v>
      </c>
      <c r="B36" s="24">
        <v>3110</v>
      </c>
      <c r="C36" s="25"/>
      <c r="D36" s="25">
        <f t="shared" si="0"/>
        <v>0</v>
      </c>
    </row>
    <row r="37" spans="1:4">
      <c r="A37" s="23" t="s">
        <v>18</v>
      </c>
      <c r="B37" s="24">
        <v>3132</v>
      </c>
      <c r="C37" s="25"/>
      <c r="D37" s="25">
        <f t="shared" si="0"/>
        <v>0</v>
      </c>
    </row>
    <row r="38" spans="1:4" ht="15.75">
      <c r="A38" s="4"/>
      <c r="C38" s="18"/>
      <c r="D38" s="18"/>
    </row>
    <row r="45" spans="1:4" s="7" customFormat="1"/>
    <row r="46" spans="1:4" s="7" customFormat="1"/>
    <row r="47" spans="1:4" s="7" customFormat="1"/>
    <row r="83" s="7" customFormat="1"/>
    <row r="84" s="7" customFormat="1"/>
    <row r="85" s="7" customFormat="1"/>
    <row r="121" s="7" customFormat="1"/>
    <row r="122" s="7" customFormat="1"/>
    <row r="123" s="7" customFormat="1"/>
    <row r="159" s="7" customFormat="1"/>
    <row r="160" s="7" customFormat="1"/>
    <row r="161" s="7" customFormat="1"/>
    <row r="197" s="7" customFormat="1"/>
    <row r="198" s="7" customFormat="1"/>
    <row r="199" s="7" customFormat="1"/>
    <row r="235" s="7" customFormat="1"/>
    <row r="236" s="7" customFormat="1"/>
    <row r="237" s="7" customFormat="1"/>
    <row r="273" s="7" customFormat="1"/>
    <row r="274" s="7" customFormat="1"/>
    <row r="275" s="7" customFormat="1"/>
    <row r="311" s="7" customFormat="1"/>
    <row r="312" s="7" customFormat="1"/>
    <row r="313" s="7" customFormat="1"/>
    <row r="349" s="7" customFormat="1"/>
    <row r="350" s="7" customFormat="1"/>
    <row r="351" s="7" customFormat="1"/>
    <row r="387" s="7" customFormat="1"/>
    <row r="388" s="7" customFormat="1"/>
    <row r="389" s="7" customFormat="1"/>
    <row r="425" s="7" customFormat="1"/>
    <row r="426" s="7" customFormat="1"/>
    <row r="427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27"/>
  <sheetViews>
    <sheetView view="pageBreakPreview" zoomScaleNormal="10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45" customHeight="1">
      <c r="A5" s="16" t="s">
        <v>23</v>
      </c>
      <c r="B5" s="42" t="s">
        <v>48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C16+C35</f>
        <v>3112539.4900000007</v>
      </c>
      <c r="D15" s="26">
        <f>C15</f>
        <v>3112539.4900000007</v>
      </c>
    </row>
    <row r="16" spans="1:4" s="8" customFormat="1" ht="24">
      <c r="A16" s="24" t="s">
        <v>19</v>
      </c>
      <c r="B16" s="22">
        <v>2000</v>
      </c>
      <c r="C16" s="26">
        <f>C17+C33</f>
        <v>3112539.4900000007</v>
      </c>
      <c r="D16" s="26">
        <f t="shared" ref="D16:D37" si="0">C16</f>
        <v>3112539.4900000007</v>
      </c>
    </row>
    <row r="17" spans="1:4" s="10" customFormat="1">
      <c r="A17" s="21" t="s">
        <v>5</v>
      </c>
      <c r="B17" s="22">
        <v>2200</v>
      </c>
      <c r="C17" s="26">
        <f>C18+C20+C21+C22+C23+C24+C26+C27+C19+C25</f>
        <v>3112539.4900000007</v>
      </c>
      <c r="D17" s="26">
        <f t="shared" si="0"/>
        <v>3112539.4900000007</v>
      </c>
    </row>
    <row r="18" spans="1:4" s="11" customFormat="1">
      <c r="A18" s="27" t="s">
        <v>6</v>
      </c>
      <c r="B18" s="35">
        <v>2210</v>
      </c>
      <c r="C18" s="36">
        <f>5460+6380+1379.4+1580.05</f>
        <v>14799.449999999999</v>
      </c>
      <c r="D18" s="26">
        <f t="shared" si="0"/>
        <v>14799.449999999999</v>
      </c>
    </row>
    <row r="19" spans="1:4" s="11" customFormat="1">
      <c r="A19" s="27" t="s">
        <v>64</v>
      </c>
      <c r="B19" s="35">
        <v>2210</v>
      </c>
      <c r="C19" s="36">
        <f>4191.98+8151+2216.6+9093.8+5545+3323.14+7297.22+3150+1113.44+791.81+2772.5+12880</f>
        <v>60526.49</v>
      </c>
      <c r="D19" s="36">
        <f t="shared" si="0"/>
        <v>60526.49</v>
      </c>
    </row>
    <row r="20" spans="1:4" s="7" customFormat="1">
      <c r="A20" s="27" t="s">
        <v>35</v>
      </c>
      <c r="B20" s="28">
        <v>2210</v>
      </c>
      <c r="C20" s="30">
        <f>7072</f>
        <v>7072</v>
      </c>
      <c r="D20" s="26">
        <f t="shared" si="0"/>
        <v>7072</v>
      </c>
    </row>
    <row r="21" spans="1:4" s="12" customFormat="1">
      <c r="A21" s="21" t="s">
        <v>37</v>
      </c>
      <c r="B21" s="22">
        <v>2210</v>
      </c>
      <c r="C21" s="30"/>
      <c r="D21" s="26">
        <f t="shared" si="0"/>
        <v>0</v>
      </c>
    </row>
    <row r="22" spans="1:4" s="11" customFormat="1">
      <c r="A22" s="21" t="s">
        <v>7</v>
      </c>
      <c r="B22" s="22">
        <v>2240</v>
      </c>
      <c r="C22" s="26">
        <f>2050+2275+1163.94+11868.08+3351.15</f>
        <v>20708.170000000002</v>
      </c>
      <c r="D22" s="26">
        <f t="shared" si="0"/>
        <v>20708.170000000002</v>
      </c>
    </row>
    <row r="23" spans="1:4">
      <c r="A23" s="21" t="s">
        <v>36</v>
      </c>
      <c r="B23" s="22">
        <v>2240</v>
      </c>
      <c r="C23" s="32">
        <f>59886.05</f>
        <v>59886.05</v>
      </c>
      <c r="D23" s="26">
        <f t="shared" si="0"/>
        <v>59886.05</v>
      </c>
    </row>
    <row r="24" spans="1:4">
      <c r="A24" s="21" t="s">
        <v>20</v>
      </c>
      <c r="B24" s="22">
        <v>2240</v>
      </c>
      <c r="C24" s="32"/>
      <c r="D24" s="26">
        <f t="shared" si="0"/>
        <v>0</v>
      </c>
    </row>
    <row r="25" spans="1:4" s="34" customFormat="1" ht="21.75">
      <c r="A25" s="21" t="s">
        <v>63</v>
      </c>
      <c r="B25" s="22">
        <v>2240</v>
      </c>
      <c r="C25" s="26">
        <f>14516.42</f>
        <v>14516.42</v>
      </c>
      <c r="D25" s="26">
        <f t="shared" si="0"/>
        <v>14516.42</v>
      </c>
    </row>
    <row r="26" spans="1:4">
      <c r="A26" s="21" t="s">
        <v>37</v>
      </c>
      <c r="B26" s="22">
        <v>2240</v>
      </c>
      <c r="C26" s="32">
        <f>6063.35+1874.95+2145</f>
        <v>10083.299999999999</v>
      </c>
      <c r="D26" s="26">
        <f t="shared" si="0"/>
        <v>10083.299999999999</v>
      </c>
    </row>
    <row r="27" spans="1:4" s="11" customFormat="1">
      <c r="A27" s="21" t="s">
        <v>16</v>
      </c>
      <c r="B27" s="22">
        <v>2270</v>
      </c>
      <c r="C27" s="26">
        <f>SUM(C28:C32)</f>
        <v>2924947.6100000003</v>
      </c>
      <c r="D27" s="26">
        <f t="shared" si="0"/>
        <v>2924947.6100000003</v>
      </c>
    </row>
    <row r="28" spans="1:4">
      <c r="A28" s="23" t="s">
        <v>9</v>
      </c>
      <c r="B28" s="24">
        <v>2271</v>
      </c>
      <c r="C28" s="25">
        <f>1541456.83+786279.62</f>
        <v>2327736.4500000002</v>
      </c>
      <c r="D28" s="25">
        <f t="shared" si="0"/>
        <v>2327736.4500000002</v>
      </c>
    </row>
    <row r="29" spans="1:4">
      <c r="A29" s="23" t="s">
        <v>10</v>
      </c>
      <c r="B29" s="24">
        <v>2272</v>
      </c>
      <c r="C29" s="25">
        <f>27413.36+2865.17</f>
        <v>30278.53</v>
      </c>
      <c r="D29" s="25">
        <f t="shared" si="0"/>
        <v>30278.53</v>
      </c>
    </row>
    <row r="30" spans="1:4">
      <c r="A30" s="23" t="s">
        <v>11</v>
      </c>
      <c r="B30" s="24">
        <v>2273</v>
      </c>
      <c r="C30" s="25">
        <f>381994.61+169075.28</f>
        <v>551069.89</v>
      </c>
      <c r="D30" s="25">
        <f t="shared" si="0"/>
        <v>551069.89</v>
      </c>
    </row>
    <row r="31" spans="1:4" hidden="1">
      <c r="A31" s="23" t="s">
        <v>12</v>
      </c>
      <c r="B31" s="24">
        <v>2274</v>
      </c>
      <c r="C31" s="25"/>
      <c r="D31" s="25">
        <f t="shared" si="0"/>
        <v>0</v>
      </c>
    </row>
    <row r="32" spans="1:4">
      <c r="A32" s="23" t="s">
        <v>8</v>
      </c>
      <c r="B32" s="24">
        <v>2275</v>
      </c>
      <c r="C32" s="31">
        <f>5672.51+4501.73+2924.91+2763.59</f>
        <v>15862.74</v>
      </c>
      <c r="D32" s="31">
        <f t="shared" si="0"/>
        <v>15862.74</v>
      </c>
    </row>
    <row r="33" spans="1:4" s="10" customFormat="1">
      <c r="A33" s="21" t="s">
        <v>13</v>
      </c>
      <c r="B33" s="22">
        <v>2700</v>
      </c>
      <c r="C33" s="25">
        <f>C34</f>
        <v>0</v>
      </c>
      <c r="D33" s="25">
        <f t="shared" si="0"/>
        <v>0</v>
      </c>
    </row>
    <row r="34" spans="1:4">
      <c r="A34" s="23" t="s">
        <v>14</v>
      </c>
      <c r="B34" s="24">
        <v>2730</v>
      </c>
      <c r="C34" s="25"/>
      <c r="D34" s="25">
        <f t="shared" si="0"/>
        <v>0</v>
      </c>
    </row>
    <row r="35" spans="1:4" s="8" customFormat="1">
      <c r="A35" s="22" t="s">
        <v>15</v>
      </c>
      <c r="B35" s="22">
        <v>3000</v>
      </c>
      <c r="C35" s="25">
        <f>C36+C37</f>
        <v>0</v>
      </c>
      <c r="D35" s="25">
        <f t="shared" si="0"/>
        <v>0</v>
      </c>
    </row>
    <row r="36" spans="1:4">
      <c r="A36" s="23" t="s">
        <v>17</v>
      </c>
      <c r="B36" s="24">
        <v>3110</v>
      </c>
      <c r="C36" s="25"/>
      <c r="D36" s="25">
        <f t="shared" si="0"/>
        <v>0</v>
      </c>
    </row>
    <row r="37" spans="1:4">
      <c r="A37" s="23" t="s">
        <v>18</v>
      </c>
      <c r="B37" s="24">
        <v>3132</v>
      </c>
      <c r="C37" s="25"/>
      <c r="D37" s="25">
        <f t="shared" si="0"/>
        <v>0</v>
      </c>
    </row>
    <row r="38" spans="1:4" ht="15.75">
      <c r="A38" s="4"/>
      <c r="C38" s="18"/>
      <c r="D38" s="18"/>
    </row>
    <row r="39" spans="1:4" ht="15" customHeight="1">
      <c r="C39" s="18"/>
      <c r="D39" s="18"/>
    </row>
    <row r="45" spans="1:4" s="7" customFormat="1"/>
    <row r="46" spans="1:4" s="7" customFormat="1"/>
    <row r="47" spans="1:4" s="7" customFormat="1"/>
    <row r="83" s="7" customFormat="1"/>
    <row r="84" s="7" customFormat="1"/>
    <row r="85" s="7" customFormat="1"/>
    <row r="121" s="7" customFormat="1"/>
    <row r="122" s="7" customFormat="1"/>
    <row r="123" s="7" customFormat="1"/>
    <row r="159" s="7" customFormat="1"/>
    <row r="160" s="7" customFormat="1"/>
    <row r="161" s="7" customFormat="1"/>
    <row r="197" s="7" customFormat="1"/>
    <row r="198" s="7" customFormat="1"/>
    <row r="199" s="7" customFormat="1"/>
    <row r="235" s="7" customFormat="1"/>
    <row r="236" s="7" customFormat="1"/>
    <row r="237" s="7" customFormat="1"/>
    <row r="273" s="7" customFormat="1"/>
    <row r="274" s="7" customFormat="1"/>
    <row r="275" s="7" customFormat="1"/>
    <row r="311" s="7" customFormat="1"/>
    <row r="312" s="7" customFormat="1"/>
    <row r="313" s="7" customFormat="1"/>
    <row r="349" s="7" customFormat="1"/>
    <row r="350" s="7" customFormat="1"/>
    <row r="351" s="7" customFormat="1"/>
    <row r="387" s="7" customFormat="1"/>
    <row r="388" s="7" customFormat="1"/>
    <row r="389" s="7" customFormat="1"/>
    <row r="425" s="7" customFormat="1"/>
    <row r="426" s="7" customFormat="1"/>
    <row r="427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26"/>
  <sheetViews>
    <sheetView view="pageBreakPreview" zoomScaleNormal="7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45" customHeight="1">
      <c r="A5" s="16" t="s">
        <v>23</v>
      </c>
      <c r="B5" s="42" t="s">
        <v>49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C16+C34</f>
        <v>580126.74</v>
      </c>
      <c r="D15" s="26">
        <f>C15</f>
        <v>580126.74</v>
      </c>
    </row>
    <row r="16" spans="1:4" s="8" customFormat="1" ht="24">
      <c r="A16" s="24" t="s">
        <v>19</v>
      </c>
      <c r="B16" s="22">
        <v>2000</v>
      </c>
      <c r="C16" s="26">
        <f>C17+C32</f>
        <v>580126.74</v>
      </c>
      <c r="D16" s="26">
        <f t="shared" ref="D16:D36" si="0">C16</f>
        <v>580126.74</v>
      </c>
    </row>
    <row r="17" spans="1:4" s="10" customFormat="1">
      <c r="A17" s="21" t="s">
        <v>5</v>
      </c>
      <c r="B17" s="22">
        <v>2200</v>
      </c>
      <c r="C17" s="26">
        <f>C18+C19+C20+C21+C22+C23+C25+C26+C24</f>
        <v>580126.74</v>
      </c>
      <c r="D17" s="26">
        <f t="shared" si="0"/>
        <v>580126.74</v>
      </c>
    </row>
    <row r="18" spans="1:4" s="11" customFormat="1">
      <c r="A18" s="27" t="s">
        <v>6</v>
      </c>
      <c r="B18" s="35">
        <v>2210</v>
      </c>
      <c r="C18" s="36">
        <f>780+880+1379.4+1580.05</f>
        <v>4619.45</v>
      </c>
      <c r="D18" s="26">
        <f t="shared" si="0"/>
        <v>4619.45</v>
      </c>
    </row>
    <row r="19" spans="1:4" s="7" customFormat="1">
      <c r="A19" s="27" t="s">
        <v>35</v>
      </c>
      <c r="B19" s="35">
        <v>2210</v>
      </c>
      <c r="C19" s="37"/>
      <c r="D19" s="26">
        <f t="shared" si="0"/>
        <v>0</v>
      </c>
    </row>
    <row r="20" spans="1:4" s="12" customFormat="1">
      <c r="A20" s="21" t="s">
        <v>37</v>
      </c>
      <c r="B20" s="22">
        <v>2210</v>
      </c>
      <c r="C20" s="30"/>
      <c r="D20" s="26">
        <f t="shared" si="0"/>
        <v>0</v>
      </c>
    </row>
    <row r="21" spans="1:4" s="11" customFormat="1">
      <c r="A21" s="21" t="s">
        <v>7</v>
      </c>
      <c r="B21" s="22">
        <v>2240</v>
      </c>
      <c r="C21" s="26">
        <f>1750+1025+213.96+334.08+7192.05+3351.15</f>
        <v>13866.24</v>
      </c>
      <c r="D21" s="26">
        <f t="shared" si="0"/>
        <v>13866.24</v>
      </c>
    </row>
    <row r="22" spans="1:4">
      <c r="A22" s="21" t="s">
        <v>36</v>
      </c>
      <c r="B22" s="22">
        <v>2240</v>
      </c>
      <c r="C22" s="32"/>
      <c r="D22" s="26">
        <f t="shared" si="0"/>
        <v>0</v>
      </c>
    </row>
    <row r="23" spans="1:4">
      <c r="A23" s="21" t="s">
        <v>20</v>
      </c>
      <c r="B23" s="22">
        <v>2240</v>
      </c>
      <c r="C23" s="32">
        <f>31460.17</f>
        <v>31460.17</v>
      </c>
      <c r="D23" s="26">
        <f t="shared" si="0"/>
        <v>31460.17</v>
      </c>
    </row>
    <row r="24" spans="1:4" s="34" customFormat="1" ht="21.75">
      <c r="A24" s="21" t="s">
        <v>63</v>
      </c>
      <c r="B24" s="22">
        <v>2240</v>
      </c>
      <c r="C24" s="26">
        <f>7029.15</f>
        <v>7029.15</v>
      </c>
      <c r="D24" s="26">
        <f t="shared" si="0"/>
        <v>7029.15</v>
      </c>
    </row>
    <row r="25" spans="1:4">
      <c r="A25" s="21" t="s">
        <v>37</v>
      </c>
      <c r="B25" s="22">
        <v>2240</v>
      </c>
      <c r="C25" s="32">
        <f>2481.3+1220.23+682.5</f>
        <v>4384.0300000000007</v>
      </c>
      <c r="D25" s="26">
        <f t="shared" si="0"/>
        <v>4384.0300000000007</v>
      </c>
    </row>
    <row r="26" spans="1:4" s="11" customFormat="1">
      <c r="A26" s="21" t="s">
        <v>16</v>
      </c>
      <c r="B26" s="22">
        <v>2270</v>
      </c>
      <c r="C26" s="26">
        <f>SUM(C27:C31)</f>
        <v>518767.7</v>
      </c>
      <c r="D26" s="26">
        <f t="shared" si="0"/>
        <v>518767.7</v>
      </c>
    </row>
    <row r="27" spans="1:4">
      <c r="A27" s="23" t="s">
        <v>9</v>
      </c>
      <c r="B27" s="24">
        <v>2271</v>
      </c>
      <c r="C27" s="25">
        <f>274244.52+82347.83</f>
        <v>356592.35000000003</v>
      </c>
      <c r="D27" s="25">
        <f t="shared" si="0"/>
        <v>356592.35000000003</v>
      </c>
    </row>
    <row r="28" spans="1:4">
      <c r="A28" s="23" t="s">
        <v>10</v>
      </c>
      <c r="B28" s="24">
        <v>2272</v>
      </c>
      <c r="C28" s="25">
        <f>5038.39+425.52</f>
        <v>5463.91</v>
      </c>
      <c r="D28" s="25">
        <f t="shared" si="0"/>
        <v>5463.91</v>
      </c>
    </row>
    <row r="29" spans="1:4">
      <c r="A29" s="23" t="s">
        <v>11</v>
      </c>
      <c r="B29" s="24">
        <v>2273</v>
      </c>
      <c r="C29" s="25">
        <f>40211.2+109545.29</f>
        <v>149756.49</v>
      </c>
      <c r="D29" s="25">
        <f t="shared" si="0"/>
        <v>149756.49</v>
      </c>
    </row>
    <row r="30" spans="1:4" hidden="1">
      <c r="A30" s="23" t="s">
        <v>12</v>
      </c>
      <c r="B30" s="24">
        <v>2274</v>
      </c>
      <c r="C30" s="25"/>
      <c r="D30" s="25">
        <f t="shared" si="0"/>
        <v>0</v>
      </c>
    </row>
    <row r="31" spans="1:4">
      <c r="A31" s="23" t="s">
        <v>8</v>
      </c>
      <c r="B31" s="24">
        <v>2275</v>
      </c>
      <c r="C31" s="31">
        <f>2410.8+2110.19+1278.3+1155.66</f>
        <v>6954.95</v>
      </c>
      <c r="D31" s="31">
        <f t="shared" si="0"/>
        <v>6954.95</v>
      </c>
    </row>
    <row r="32" spans="1:4" s="10" customFormat="1">
      <c r="A32" s="21" t="s">
        <v>13</v>
      </c>
      <c r="B32" s="22">
        <v>2700</v>
      </c>
      <c r="C32" s="25">
        <f>C33</f>
        <v>0</v>
      </c>
      <c r="D32" s="25">
        <f t="shared" si="0"/>
        <v>0</v>
      </c>
    </row>
    <row r="33" spans="1:4">
      <c r="A33" s="23" t="s">
        <v>14</v>
      </c>
      <c r="B33" s="24">
        <v>2730</v>
      </c>
      <c r="C33" s="25"/>
      <c r="D33" s="25">
        <f t="shared" si="0"/>
        <v>0</v>
      </c>
    </row>
    <row r="34" spans="1:4" s="8" customFormat="1">
      <c r="A34" s="22" t="s">
        <v>15</v>
      </c>
      <c r="B34" s="22">
        <v>3000</v>
      </c>
      <c r="C34" s="26">
        <f>C35+C36</f>
        <v>0</v>
      </c>
      <c r="D34" s="26">
        <f t="shared" si="0"/>
        <v>0</v>
      </c>
    </row>
    <row r="35" spans="1:4">
      <c r="A35" s="23" t="s">
        <v>17</v>
      </c>
      <c r="B35" s="24">
        <v>3110</v>
      </c>
      <c r="C35" s="25"/>
      <c r="D35" s="25">
        <f t="shared" si="0"/>
        <v>0</v>
      </c>
    </row>
    <row r="36" spans="1:4">
      <c r="A36" s="23" t="s">
        <v>18</v>
      </c>
      <c r="B36" s="24">
        <v>3132</v>
      </c>
      <c r="C36" s="25"/>
      <c r="D36" s="25">
        <f t="shared" si="0"/>
        <v>0</v>
      </c>
    </row>
    <row r="37" spans="1:4" ht="15.75">
      <c r="A37" s="4"/>
      <c r="C37" s="18"/>
      <c r="D37" s="18"/>
    </row>
    <row r="38" spans="1:4" ht="15" customHeight="1">
      <c r="C38" s="18"/>
      <c r="D38" s="18"/>
    </row>
    <row r="44" spans="1:4" s="7" customFormat="1"/>
    <row r="45" spans="1:4" s="7" customFormat="1"/>
    <row r="46" spans="1:4" s="7" customFormat="1"/>
    <row r="82" s="7" customFormat="1"/>
    <row r="83" s="7" customFormat="1"/>
    <row r="84" s="7" customFormat="1"/>
    <row r="120" s="7" customFormat="1"/>
    <row r="121" s="7" customFormat="1"/>
    <row r="122" s="7" customFormat="1"/>
    <row r="158" s="7" customFormat="1"/>
    <row r="159" s="7" customFormat="1"/>
    <row r="160" s="7" customFormat="1"/>
    <row r="196" s="7" customFormat="1"/>
    <row r="197" s="7" customFormat="1"/>
    <row r="198" s="7" customFormat="1"/>
    <row r="234" s="7" customFormat="1"/>
    <row r="235" s="7" customFormat="1"/>
    <row r="236" s="7" customFormat="1"/>
    <row r="272" s="7" customFormat="1"/>
    <row r="273" s="7" customFormat="1"/>
    <row r="274" s="7" customFormat="1"/>
    <row r="310" s="7" customFormat="1"/>
    <row r="311" s="7" customFormat="1"/>
    <row r="312" s="7" customFormat="1"/>
    <row r="348" s="7" customFormat="1"/>
    <row r="349" s="7" customFormat="1"/>
    <row r="350" s="7" customFormat="1"/>
    <row r="386" s="7" customFormat="1"/>
    <row r="387" s="7" customFormat="1"/>
    <row r="388" s="7" customFormat="1"/>
    <row r="424" s="7" customFormat="1"/>
    <row r="425" s="7" customFormat="1"/>
    <row r="426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28"/>
  <sheetViews>
    <sheetView view="pageBreakPreview" zoomScaleNormal="8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46.5" customHeight="1">
      <c r="A5" s="16" t="s">
        <v>23</v>
      </c>
      <c r="B5" s="42" t="s">
        <v>50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C16+C36</f>
        <v>5722719.7799999984</v>
      </c>
      <c r="D15" s="26">
        <f>C15</f>
        <v>5722719.7799999984</v>
      </c>
    </row>
    <row r="16" spans="1:4" s="8" customFormat="1" ht="24">
      <c r="A16" s="24" t="s">
        <v>19</v>
      </c>
      <c r="B16" s="22">
        <v>2000</v>
      </c>
      <c r="C16" s="26">
        <f>C17+C34</f>
        <v>5722719.7799999984</v>
      </c>
      <c r="D16" s="26">
        <f t="shared" ref="D16:D38" si="0">C16</f>
        <v>5722719.7799999984</v>
      </c>
    </row>
    <row r="17" spans="1:4" s="10" customFormat="1">
      <c r="A17" s="21" t="s">
        <v>5</v>
      </c>
      <c r="B17" s="22">
        <v>2200</v>
      </c>
      <c r="C17" s="26">
        <f>C18+C21+C22+C23+C24+C25+C27+C28+C19+C20+C26</f>
        <v>5722719.7799999984</v>
      </c>
      <c r="D17" s="26">
        <f t="shared" si="0"/>
        <v>5722719.7799999984</v>
      </c>
    </row>
    <row r="18" spans="1:4" s="11" customFormat="1">
      <c r="A18" s="27" t="s">
        <v>6</v>
      </c>
      <c r="B18" s="35">
        <v>2210</v>
      </c>
      <c r="C18" s="36">
        <f>5460+6380+1379.4+1580.05</f>
        <v>14799.449999999999</v>
      </c>
      <c r="D18" s="26">
        <f t="shared" si="0"/>
        <v>14799.449999999999</v>
      </c>
    </row>
    <row r="19" spans="1:4" s="11" customFormat="1" ht="21.75">
      <c r="A19" s="21" t="s">
        <v>63</v>
      </c>
      <c r="B19" s="35">
        <v>2210</v>
      </c>
      <c r="C19" s="36">
        <f>7900+19870+62356.3</f>
        <v>90126.3</v>
      </c>
      <c r="D19" s="26">
        <f t="shared" si="0"/>
        <v>90126.3</v>
      </c>
    </row>
    <row r="20" spans="1:4" s="11" customFormat="1">
      <c r="A20" s="27" t="s">
        <v>64</v>
      </c>
      <c r="B20" s="35">
        <v>2210</v>
      </c>
      <c r="C20" s="36">
        <f>10479.95+8151+1773.28+13640.7+11090+2769.28+8756.66+3150+1113.4+791.81+2772.5+12880</f>
        <v>77368.579999999987</v>
      </c>
      <c r="D20" s="29">
        <f t="shared" si="0"/>
        <v>77368.579999999987</v>
      </c>
    </row>
    <row r="21" spans="1:4" s="7" customFormat="1">
      <c r="A21" s="27" t="s">
        <v>35</v>
      </c>
      <c r="B21" s="28">
        <v>2210</v>
      </c>
      <c r="C21" s="30"/>
      <c r="D21" s="26">
        <f t="shared" si="0"/>
        <v>0</v>
      </c>
    </row>
    <row r="22" spans="1:4" s="12" customFormat="1">
      <c r="A22" s="21" t="s">
        <v>37</v>
      </c>
      <c r="B22" s="22">
        <v>2210</v>
      </c>
      <c r="C22" s="30"/>
      <c r="D22" s="26">
        <f t="shared" si="0"/>
        <v>0</v>
      </c>
    </row>
    <row r="23" spans="1:4" s="11" customFormat="1">
      <c r="A23" s="21" t="s">
        <v>7</v>
      </c>
      <c r="B23" s="22">
        <v>2240</v>
      </c>
      <c r="C23" s="26">
        <f>2050+2358+2900+630+3658.74+3666.36+16188.08+75+60000+3351.15+3351.15</f>
        <v>98228.479999999981</v>
      </c>
      <c r="D23" s="26">
        <f t="shared" si="0"/>
        <v>98228.479999999981</v>
      </c>
    </row>
    <row r="24" spans="1:4">
      <c r="A24" s="21" t="s">
        <v>36</v>
      </c>
      <c r="B24" s="22">
        <v>2240</v>
      </c>
      <c r="C24" s="32"/>
      <c r="D24" s="26">
        <f t="shared" si="0"/>
        <v>0</v>
      </c>
    </row>
    <row r="25" spans="1:4">
      <c r="A25" s="21" t="s">
        <v>20</v>
      </c>
      <c r="B25" s="22">
        <v>2240</v>
      </c>
      <c r="C25" s="32">
        <f>28975.1</f>
        <v>28975.1</v>
      </c>
      <c r="D25" s="26">
        <f t="shared" si="0"/>
        <v>28975.1</v>
      </c>
    </row>
    <row r="26" spans="1:4" s="34" customFormat="1" ht="21.75">
      <c r="A26" s="21" t="s">
        <v>63</v>
      </c>
      <c r="B26" s="22">
        <v>2240</v>
      </c>
      <c r="C26" s="26">
        <f>13547.4+6160.48+43336.97</f>
        <v>63044.85</v>
      </c>
      <c r="D26" s="26">
        <f t="shared" si="0"/>
        <v>63044.85</v>
      </c>
    </row>
    <row r="27" spans="1:4">
      <c r="A27" s="21" t="s">
        <v>37</v>
      </c>
      <c r="B27" s="22">
        <v>2240</v>
      </c>
      <c r="C27" s="32">
        <f>5656.89+4905.68+19998+9999+1267.5+6666+3333+60000</f>
        <v>111826.07</v>
      </c>
      <c r="D27" s="26">
        <f t="shared" si="0"/>
        <v>111826.07</v>
      </c>
    </row>
    <row r="28" spans="1:4" s="11" customFormat="1">
      <c r="A28" s="21" t="s">
        <v>16</v>
      </c>
      <c r="B28" s="22">
        <v>2270</v>
      </c>
      <c r="C28" s="26">
        <f>SUM(C29:C33)</f>
        <v>5238350.9499999993</v>
      </c>
      <c r="D28" s="26">
        <f t="shared" si="0"/>
        <v>5238350.9499999993</v>
      </c>
    </row>
    <row r="29" spans="1:4">
      <c r="A29" s="23" t="s">
        <v>9</v>
      </c>
      <c r="B29" s="24">
        <v>2271</v>
      </c>
      <c r="C29" s="25">
        <f>3244668.83+896018.46</f>
        <v>4140687.29</v>
      </c>
      <c r="D29" s="25">
        <f t="shared" si="0"/>
        <v>4140687.29</v>
      </c>
    </row>
    <row r="30" spans="1:4">
      <c r="A30" s="23" t="s">
        <v>10</v>
      </c>
      <c r="B30" s="24">
        <v>2272</v>
      </c>
      <c r="C30" s="25">
        <f>99741.33+22712.21</f>
        <v>122453.54000000001</v>
      </c>
      <c r="D30" s="25">
        <f t="shared" si="0"/>
        <v>122453.54000000001</v>
      </c>
    </row>
    <row r="31" spans="1:4">
      <c r="A31" s="23" t="s">
        <v>11</v>
      </c>
      <c r="B31" s="24">
        <v>2273</v>
      </c>
      <c r="C31" s="25">
        <f>788261.21+168905.89</f>
        <v>957167.1</v>
      </c>
      <c r="D31" s="25">
        <f t="shared" si="0"/>
        <v>957167.1</v>
      </c>
    </row>
    <row r="32" spans="1:4" hidden="1">
      <c r="A32" s="23" t="s">
        <v>12</v>
      </c>
      <c r="B32" s="24">
        <v>2274</v>
      </c>
      <c r="C32" s="25"/>
      <c r="D32" s="25">
        <f t="shared" si="0"/>
        <v>0</v>
      </c>
    </row>
    <row r="33" spans="1:4">
      <c r="A33" s="23" t="s">
        <v>8</v>
      </c>
      <c r="B33" s="24">
        <v>2275</v>
      </c>
      <c r="C33" s="31">
        <f>4963.42+2206.1+4795.91+1055.19+1646.61+809.25+1231.76+1135.84+198.94</f>
        <v>18043.02</v>
      </c>
      <c r="D33" s="31">
        <f t="shared" si="0"/>
        <v>18043.02</v>
      </c>
    </row>
    <row r="34" spans="1:4" s="10" customFormat="1">
      <c r="A34" s="21" t="s">
        <v>13</v>
      </c>
      <c r="B34" s="22">
        <v>2700</v>
      </c>
      <c r="C34" s="25">
        <f>C35</f>
        <v>0</v>
      </c>
      <c r="D34" s="25">
        <f t="shared" si="0"/>
        <v>0</v>
      </c>
    </row>
    <row r="35" spans="1:4">
      <c r="A35" s="23" t="s">
        <v>14</v>
      </c>
      <c r="B35" s="24">
        <v>2730</v>
      </c>
      <c r="C35" s="25"/>
      <c r="D35" s="25">
        <f t="shared" si="0"/>
        <v>0</v>
      </c>
    </row>
    <row r="36" spans="1:4" s="8" customFormat="1">
      <c r="A36" s="22" t="s">
        <v>15</v>
      </c>
      <c r="B36" s="22">
        <v>3000</v>
      </c>
      <c r="C36" s="25">
        <f>C37+C38</f>
        <v>0</v>
      </c>
      <c r="D36" s="25">
        <f t="shared" si="0"/>
        <v>0</v>
      </c>
    </row>
    <row r="37" spans="1:4">
      <c r="A37" s="23" t="s">
        <v>17</v>
      </c>
      <c r="B37" s="24">
        <v>3110</v>
      </c>
      <c r="C37" s="25"/>
      <c r="D37" s="25">
        <f t="shared" si="0"/>
        <v>0</v>
      </c>
    </row>
    <row r="38" spans="1:4">
      <c r="A38" s="23" t="s">
        <v>18</v>
      </c>
      <c r="B38" s="24">
        <v>3132</v>
      </c>
      <c r="C38" s="25"/>
      <c r="D38" s="25">
        <f t="shared" si="0"/>
        <v>0</v>
      </c>
    </row>
    <row r="39" spans="1:4" ht="15.75">
      <c r="A39" s="4"/>
      <c r="C39" s="18"/>
      <c r="D39" s="18"/>
    </row>
    <row r="40" spans="1:4" ht="15" customHeight="1">
      <c r="C40" s="18"/>
    </row>
    <row r="46" spans="1:4" s="7" customFormat="1"/>
    <row r="47" spans="1:4" s="7" customFormat="1"/>
    <row r="48" spans="1:4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27"/>
  <sheetViews>
    <sheetView view="pageBreakPreview" zoomScaleNormal="7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56.25" customHeight="1">
      <c r="A5" s="16" t="s">
        <v>23</v>
      </c>
      <c r="B5" s="42" t="s">
        <v>51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C16+C35</f>
        <v>1709463.07</v>
      </c>
      <c r="D15" s="26">
        <f>C15</f>
        <v>1709463.07</v>
      </c>
    </row>
    <row r="16" spans="1:4" s="8" customFormat="1" ht="24">
      <c r="A16" s="24" t="s">
        <v>19</v>
      </c>
      <c r="B16" s="22">
        <v>2000</v>
      </c>
      <c r="C16" s="26">
        <f>C17+C33</f>
        <v>1468737.07</v>
      </c>
      <c r="D16" s="26">
        <f t="shared" ref="D16:D37" si="0">C16</f>
        <v>1468737.07</v>
      </c>
    </row>
    <row r="17" spans="1:4" s="10" customFormat="1">
      <c r="A17" s="21" t="s">
        <v>5</v>
      </c>
      <c r="B17" s="22">
        <v>2200</v>
      </c>
      <c r="C17" s="26">
        <f>C18+C20+C21+C22+C23+C24+C26+C27+C19+C25</f>
        <v>1465077.07</v>
      </c>
      <c r="D17" s="26">
        <f t="shared" si="0"/>
        <v>1465077.07</v>
      </c>
    </row>
    <row r="18" spans="1:4" s="11" customFormat="1">
      <c r="A18" s="27" t="s">
        <v>6</v>
      </c>
      <c r="B18" s="35">
        <v>2210</v>
      </c>
      <c r="C18" s="36">
        <f>3120+2550+1379.4+1580.05</f>
        <v>8629.4499999999989</v>
      </c>
      <c r="D18" s="26">
        <f t="shared" si="0"/>
        <v>8629.4499999999989</v>
      </c>
    </row>
    <row r="19" spans="1:4" s="11" customFormat="1">
      <c r="A19" s="27" t="s">
        <v>64</v>
      </c>
      <c r="B19" s="35">
        <v>2210</v>
      </c>
      <c r="C19" s="36">
        <f>99700.1+9431.95+8151+1108.3+9093.8+8317.5+1107.71+10945.83+3150+556.72+395.89+1386.25+8050</f>
        <v>161395.05000000002</v>
      </c>
      <c r="D19" s="36">
        <f t="shared" si="0"/>
        <v>161395.05000000002</v>
      </c>
    </row>
    <row r="20" spans="1:4" s="7" customFormat="1">
      <c r="A20" s="27" t="s">
        <v>35</v>
      </c>
      <c r="B20" s="28">
        <v>2210</v>
      </c>
      <c r="C20" s="30"/>
      <c r="D20" s="26">
        <f t="shared" si="0"/>
        <v>0</v>
      </c>
    </row>
    <row r="21" spans="1:4" s="12" customFormat="1">
      <c r="A21" s="21" t="s">
        <v>37</v>
      </c>
      <c r="B21" s="22">
        <v>2210</v>
      </c>
      <c r="C21" s="30"/>
      <c r="D21" s="26">
        <f t="shared" si="0"/>
        <v>0</v>
      </c>
    </row>
    <row r="22" spans="1:4" s="11" customFormat="1">
      <c r="A22" s="21" t="s">
        <v>7</v>
      </c>
      <c r="B22" s="22">
        <v>2240</v>
      </c>
      <c r="C22" s="26">
        <f>1750+1500+1876.98+6382.05+10098+3351.15</f>
        <v>24958.18</v>
      </c>
      <c r="D22" s="26">
        <f t="shared" si="0"/>
        <v>24958.18</v>
      </c>
    </row>
    <row r="23" spans="1:4">
      <c r="A23" s="21" t="s">
        <v>36</v>
      </c>
      <c r="B23" s="22">
        <v>2240</v>
      </c>
      <c r="C23" s="32">
        <f>49900</f>
        <v>49900</v>
      </c>
      <c r="D23" s="26">
        <f t="shared" si="0"/>
        <v>49900</v>
      </c>
    </row>
    <row r="24" spans="1:4">
      <c r="A24" s="21" t="s">
        <v>20</v>
      </c>
      <c r="B24" s="22">
        <v>2240</v>
      </c>
      <c r="C24" s="32">
        <f>11318.73</f>
        <v>11318.73</v>
      </c>
      <c r="D24" s="26">
        <f t="shared" si="0"/>
        <v>11318.73</v>
      </c>
    </row>
    <row r="25" spans="1:4" s="34" customFormat="1" ht="21.75">
      <c r="A25" s="21" t="s">
        <v>63</v>
      </c>
      <c r="B25" s="22">
        <v>2240</v>
      </c>
      <c r="C25" s="26">
        <f>26869.02</f>
        <v>26869.02</v>
      </c>
      <c r="D25" s="26">
        <f t="shared" si="0"/>
        <v>26869.02</v>
      </c>
    </row>
    <row r="26" spans="1:4">
      <c r="A26" s="21" t="s">
        <v>37</v>
      </c>
      <c r="B26" s="22">
        <v>2240</v>
      </c>
      <c r="C26" s="32">
        <f>4746.28+1495</f>
        <v>6241.28</v>
      </c>
      <c r="D26" s="26">
        <f t="shared" si="0"/>
        <v>6241.28</v>
      </c>
    </row>
    <row r="27" spans="1:4" s="11" customFormat="1">
      <c r="A27" s="21" t="s">
        <v>16</v>
      </c>
      <c r="B27" s="22">
        <v>2270</v>
      </c>
      <c r="C27" s="26">
        <f>SUM(C28:C32)</f>
        <v>1175765.3600000001</v>
      </c>
      <c r="D27" s="26">
        <f t="shared" si="0"/>
        <v>1175765.3600000001</v>
      </c>
    </row>
    <row r="28" spans="1:4">
      <c r="A28" s="23" t="s">
        <v>9</v>
      </c>
      <c r="B28" s="24">
        <v>2271</v>
      </c>
      <c r="C28" s="25">
        <f>828741.95+247086.3</f>
        <v>1075828.25</v>
      </c>
      <c r="D28" s="25">
        <f t="shared" si="0"/>
        <v>1075828.25</v>
      </c>
    </row>
    <row r="29" spans="1:4">
      <c r="A29" s="23" t="s">
        <v>10</v>
      </c>
      <c r="B29" s="24">
        <v>2272</v>
      </c>
      <c r="C29" s="25">
        <f>18301.3+5475.02</f>
        <v>23776.32</v>
      </c>
      <c r="D29" s="25">
        <f t="shared" si="0"/>
        <v>23776.32</v>
      </c>
    </row>
    <row r="30" spans="1:4">
      <c r="A30" s="23" t="s">
        <v>11</v>
      </c>
      <c r="B30" s="24">
        <v>2273</v>
      </c>
      <c r="C30" s="25">
        <f>58644.26+13118.37</f>
        <v>71762.63</v>
      </c>
      <c r="D30" s="25">
        <f t="shared" si="0"/>
        <v>71762.63</v>
      </c>
    </row>
    <row r="31" spans="1:4" hidden="1">
      <c r="A31" s="23" t="s">
        <v>12</v>
      </c>
      <c r="B31" s="24">
        <v>2274</v>
      </c>
      <c r="C31" s="25"/>
      <c r="D31" s="25">
        <f t="shared" si="0"/>
        <v>0</v>
      </c>
    </row>
    <row r="32" spans="1:4">
      <c r="A32" s="23" t="s">
        <v>8</v>
      </c>
      <c r="B32" s="24">
        <v>2275</v>
      </c>
      <c r="C32" s="31">
        <f>2836.24+1561.92</f>
        <v>4398.16</v>
      </c>
      <c r="D32" s="31">
        <f t="shared" si="0"/>
        <v>4398.16</v>
      </c>
    </row>
    <row r="33" spans="1:4" s="10" customFormat="1">
      <c r="A33" s="21" t="s">
        <v>13</v>
      </c>
      <c r="B33" s="22">
        <v>2700</v>
      </c>
      <c r="C33" s="26">
        <f>C34</f>
        <v>3660</v>
      </c>
      <c r="D33" s="26">
        <f t="shared" si="0"/>
        <v>3660</v>
      </c>
    </row>
    <row r="34" spans="1:4">
      <c r="A34" s="23" t="s">
        <v>14</v>
      </c>
      <c r="B34" s="24">
        <v>2730</v>
      </c>
      <c r="C34" s="25">
        <v>3660</v>
      </c>
      <c r="D34" s="25">
        <f t="shared" si="0"/>
        <v>3660</v>
      </c>
    </row>
    <row r="35" spans="1:4" s="8" customFormat="1">
      <c r="A35" s="22" t="s">
        <v>15</v>
      </c>
      <c r="B35" s="22">
        <v>3000</v>
      </c>
      <c r="C35" s="26">
        <f>C36+C37</f>
        <v>240726</v>
      </c>
      <c r="D35" s="26">
        <f t="shared" si="0"/>
        <v>240726</v>
      </c>
    </row>
    <row r="36" spans="1:4">
      <c r="A36" s="23" t="s">
        <v>17</v>
      </c>
      <c r="B36" s="24">
        <v>3110</v>
      </c>
      <c r="C36" s="25"/>
      <c r="D36" s="25">
        <f t="shared" si="0"/>
        <v>0</v>
      </c>
    </row>
    <row r="37" spans="1:4">
      <c r="A37" s="23" t="s">
        <v>18</v>
      </c>
      <c r="B37" s="24">
        <v>3132</v>
      </c>
      <c r="C37" s="25">
        <f>206022+3600+28968+2136</f>
        <v>240726</v>
      </c>
      <c r="D37" s="25">
        <f t="shared" si="0"/>
        <v>240726</v>
      </c>
    </row>
    <row r="38" spans="1:4" ht="15.75">
      <c r="A38" s="4"/>
      <c r="C38" s="18"/>
      <c r="D38" s="18"/>
    </row>
    <row r="39" spans="1:4" ht="15" customHeight="1">
      <c r="C39" s="18"/>
      <c r="D39" s="18"/>
    </row>
    <row r="45" spans="1:4" s="7" customFormat="1"/>
    <row r="46" spans="1:4" s="7" customFormat="1"/>
    <row r="47" spans="1:4" s="7" customFormat="1"/>
    <row r="83" s="7" customFormat="1"/>
    <row r="84" s="7" customFormat="1"/>
    <row r="85" s="7" customFormat="1"/>
    <row r="121" s="7" customFormat="1"/>
    <row r="122" s="7" customFormat="1"/>
    <row r="123" s="7" customFormat="1"/>
    <row r="159" s="7" customFormat="1"/>
    <row r="160" s="7" customFormat="1"/>
    <row r="161" s="7" customFormat="1"/>
    <row r="197" s="7" customFormat="1"/>
    <row r="198" s="7" customFormat="1"/>
    <row r="199" s="7" customFormat="1"/>
    <row r="235" s="7" customFormat="1"/>
    <row r="236" s="7" customFormat="1"/>
    <row r="237" s="7" customFormat="1"/>
    <row r="273" s="7" customFormat="1"/>
    <row r="274" s="7" customFormat="1"/>
    <row r="275" s="7" customFormat="1"/>
    <row r="311" s="7" customFormat="1"/>
    <row r="312" s="7" customFormat="1"/>
    <row r="313" s="7" customFormat="1"/>
    <row r="349" s="7" customFormat="1"/>
    <row r="350" s="7" customFormat="1"/>
    <row r="351" s="7" customFormat="1"/>
    <row r="387" s="7" customFormat="1"/>
    <row r="388" s="7" customFormat="1"/>
    <row r="389" s="7" customFormat="1"/>
    <row r="425" s="7" customFormat="1"/>
    <row r="426" s="7" customFormat="1"/>
    <row r="427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26"/>
  <sheetViews>
    <sheetView view="pageBreakPreview" zoomScaleNormal="90" zoomScaleSheetLayoutView="100" workbookViewId="0">
      <selection activeCell="A3" sqref="A3:D3"/>
    </sheetView>
  </sheetViews>
  <sheetFormatPr defaultColWidth="14.390625" defaultRowHeight="15" customHeight="1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67.5" customHeight="1">
      <c r="A5" s="16" t="s">
        <v>23</v>
      </c>
      <c r="B5" s="42" t="s">
        <v>52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C16+C34</f>
        <v>2235368.0700000003</v>
      </c>
      <c r="D15" s="26">
        <f>C15</f>
        <v>2235368.0700000003</v>
      </c>
    </row>
    <row r="16" spans="1:4" s="8" customFormat="1" ht="24">
      <c r="A16" s="24" t="s">
        <v>19</v>
      </c>
      <c r="B16" s="22">
        <v>2000</v>
      </c>
      <c r="C16" s="26">
        <f>C17+C32</f>
        <v>2235368.0700000003</v>
      </c>
      <c r="D16" s="26">
        <f t="shared" ref="D16:D36" si="0">C16</f>
        <v>2235368.0700000003</v>
      </c>
    </row>
    <row r="17" spans="1:4" s="10" customFormat="1">
      <c r="A17" s="21" t="s">
        <v>5</v>
      </c>
      <c r="B17" s="22">
        <v>2200</v>
      </c>
      <c r="C17" s="26">
        <f>C18+C19+C20+C21+C22+C23+C25+C26+C24</f>
        <v>2235368.0700000003</v>
      </c>
      <c r="D17" s="26">
        <f t="shared" si="0"/>
        <v>2235368.0700000003</v>
      </c>
    </row>
    <row r="18" spans="1:4" s="11" customFormat="1">
      <c r="A18" s="27" t="s">
        <v>6</v>
      </c>
      <c r="B18" s="35">
        <v>2210</v>
      </c>
      <c r="C18" s="36">
        <f>3900+3520+1379.4+1580.05</f>
        <v>10379.449999999999</v>
      </c>
      <c r="D18" s="26">
        <f t="shared" si="0"/>
        <v>10379.449999999999</v>
      </c>
    </row>
    <row r="19" spans="1:4" s="7" customFormat="1">
      <c r="A19" s="27" t="s">
        <v>35</v>
      </c>
      <c r="B19" s="35">
        <v>2210</v>
      </c>
      <c r="C19" s="37">
        <f>49258.09+29992.01+24000</f>
        <v>103250.09999999999</v>
      </c>
      <c r="D19" s="26">
        <f t="shared" si="0"/>
        <v>103250.09999999999</v>
      </c>
    </row>
    <row r="20" spans="1:4" s="12" customFormat="1">
      <c r="A20" s="21" t="s">
        <v>37</v>
      </c>
      <c r="B20" s="22">
        <v>2210</v>
      </c>
      <c r="C20" s="37"/>
      <c r="D20" s="26">
        <f t="shared" si="0"/>
        <v>0</v>
      </c>
    </row>
    <row r="21" spans="1:4" s="11" customFormat="1">
      <c r="A21" s="21" t="s">
        <v>7</v>
      </c>
      <c r="B21" s="22">
        <v>2240</v>
      </c>
      <c r="C21" s="26">
        <f>2050+2475+2054.94+7413.08+3351.15</f>
        <v>17344.170000000002</v>
      </c>
      <c r="D21" s="26">
        <f t="shared" si="0"/>
        <v>17344.170000000002</v>
      </c>
    </row>
    <row r="22" spans="1:4">
      <c r="A22" s="21" t="s">
        <v>36</v>
      </c>
      <c r="B22" s="22">
        <v>2240</v>
      </c>
      <c r="C22" s="32">
        <f>30000+49999</f>
        <v>79999</v>
      </c>
      <c r="D22" s="26">
        <f t="shared" si="0"/>
        <v>79999</v>
      </c>
    </row>
    <row r="23" spans="1:4">
      <c r="A23" s="21" t="s">
        <v>20</v>
      </c>
      <c r="B23" s="22">
        <v>2240</v>
      </c>
      <c r="C23" s="32">
        <f>189061.43+59415.57</f>
        <v>248477</v>
      </c>
      <c r="D23" s="26">
        <f t="shared" si="0"/>
        <v>248477</v>
      </c>
    </row>
    <row r="24" spans="1:4" s="34" customFormat="1" ht="21.75">
      <c r="A24" s="21" t="s">
        <v>63</v>
      </c>
      <c r="B24" s="22">
        <v>2240</v>
      </c>
      <c r="C24" s="26">
        <f>28097.77+9830.83</f>
        <v>37928.6</v>
      </c>
      <c r="D24" s="26">
        <f t="shared" si="0"/>
        <v>37928.6</v>
      </c>
    </row>
    <row r="25" spans="1:4">
      <c r="A25" s="21" t="s">
        <v>37</v>
      </c>
      <c r="B25" s="22">
        <v>2240</v>
      </c>
      <c r="C25" s="32">
        <f>6552.4+1137.5</f>
        <v>7689.9</v>
      </c>
      <c r="D25" s="26">
        <f t="shared" si="0"/>
        <v>7689.9</v>
      </c>
    </row>
    <row r="26" spans="1:4" s="11" customFormat="1">
      <c r="A26" s="21" t="s">
        <v>16</v>
      </c>
      <c r="B26" s="22">
        <v>2270</v>
      </c>
      <c r="C26" s="26">
        <f>SUM(C27:C31)</f>
        <v>1730299.85</v>
      </c>
      <c r="D26" s="26">
        <f t="shared" si="0"/>
        <v>1730299.85</v>
      </c>
    </row>
    <row r="27" spans="1:4">
      <c r="A27" s="23" t="s">
        <v>9</v>
      </c>
      <c r="B27" s="24">
        <v>2271</v>
      </c>
      <c r="C27" s="25">
        <f>1080892.83+518581.39</f>
        <v>1599474.2200000002</v>
      </c>
      <c r="D27" s="25">
        <f t="shared" si="0"/>
        <v>1599474.2200000002</v>
      </c>
    </row>
    <row r="28" spans="1:4">
      <c r="A28" s="23" t="s">
        <v>10</v>
      </c>
      <c r="B28" s="24">
        <v>2272</v>
      </c>
      <c r="C28" s="25">
        <f>11489.04+1673.71</f>
        <v>13162.75</v>
      </c>
      <c r="D28" s="25">
        <f t="shared" si="0"/>
        <v>13162.75</v>
      </c>
    </row>
    <row r="29" spans="1:4">
      <c r="A29" s="23" t="s">
        <v>11</v>
      </c>
      <c r="B29" s="24">
        <v>2273</v>
      </c>
      <c r="C29" s="25">
        <f>87902.04+21447.07</f>
        <v>109349.10999999999</v>
      </c>
      <c r="D29" s="25">
        <f t="shared" si="0"/>
        <v>109349.10999999999</v>
      </c>
    </row>
    <row r="30" spans="1:4" hidden="1">
      <c r="A30" s="23" t="s">
        <v>12</v>
      </c>
      <c r="B30" s="24">
        <v>2274</v>
      </c>
      <c r="C30" s="25"/>
      <c r="D30" s="25">
        <f t="shared" si="0"/>
        <v>0</v>
      </c>
    </row>
    <row r="31" spans="1:4">
      <c r="A31" s="23" t="s">
        <v>8</v>
      </c>
      <c r="B31" s="24">
        <v>2275</v>
      </c>
      <c r="C31" s="31">
        <f>5388.86+2924.91</f>
        <v>8313.77</v>
      </c>
      <c r="D31" s="31">
        <f t="shared" si="0"/>
        <v>8313.77</v>
      </c>
    </row>
    <row r="32" spans="1:4" s="10" customFormat="1">
      <c r="A32" s="21" t="s">
        <v>13</v>
      </c>
      <c r="B32" s="22">
        <v>2700</v>
      </c>
      <c r="C32" s="26">
        <f>C33</f>
        <v>0</v>
      </c>
      <c r="D32" s="26">
        <f t="shared" si="0"/>
        <v>0</v>
      </c>
    </row>
    <row r="33" spans="1:4">
      <c r="A33" s="23" t="s">
        <v>14</v>
      </c>
      <c r="B33" s="24">
        <v>2730</v>
      </c>
      <c r="C33" s="25"/>
      <c r="D33" s="25">
        <f t="shared" si="0"/>
        <v>0</v>
      </c>
    </row>
    <row r="34" spans="1:4" s="8" customFormat="1">
      <c r="A34" s="22" t="s">
        <v>15</v>
      </c>
      <c r="B34" s="22">
        <v>3000</v>
      </c>
      <c r="C34" s="26">
        <f>C35+C36</f>
        <v>0</v>
      </c>
      <c r="D34" s="26">
        <f t="shared" si="0"/>
        <v>0</v>
      </c>
    </row>
    <row r="35" spans="1:4">
      <c r="A35" s="23" t="s">
        <v>17</v>
      </c>
      <c r="B35" s="24">
        <v>3110</v>
      </c>
      <c r="C35" s="25"/>
      <c r="D35" s="25">
        <f t="shared" si="0"/>
        <v>0</v>
      </c>
    </row>
    <row r="36" spans="1:4">
      <c r="A36" s="23" t="s">
        <v>18</v>
      </c>
      <c r="B36" s="24">
        <v>3132</v>
      </c>
      <c r="C36" s="25"/>
      <c r="D36" s="25">
        <f t="shared" si="0"/>
        <v>0</v>
      </c>
    </row>
    <row r="37" spans="1:4" ht="15.75">
      <c r="A37" s="4"/>
      <c r="C37" s="18"/>
      <c r="D37" s="18"/>
    </row>
    <row r="38" spans="1:4" ht="15" customHeight="1">
      <c r="C38" s="18"/>
      <c r="D38" s="18"/>
    </row>
    <row r="44" spans="1:4" s="7" customFormat="1"/>
    <row r="45" spans="1:4" s="7" customFormat="1"/>
    <row r="46" spans="1:4" s="7" customFormat="1"/>
    <row r="82" s="7" customFormat="1"/>
    <row r="83" s="7" customFormat="1"/>
    <row r="84" s="7" customFormat="1"/>
    <row r="120" s="7" customFormat="1"/>
    <row r="121" s="7" customFormat="1"/>
    <row r="122" s="7" customFormat="1"/>
    <row r="158" s="7" customFormat="1"/>
    <row r="159" s="7" customFormat="1"/>
    <row r="160" s="7" customFormat="1"/>
    <row r="196" s="7" customFormat="1"/>
    <row r="197" s="7" customFormat="1"/>
    <row r="198" s="7" customFormat="1"/>
    <row r="234" s="7" customFormat="1"/>
    <row r="235" s="7" customFormat="1"/>
    <row r="236" s="7" customFormat="1"/>
    <row r="272" s="7" customFormat="1"/>
    <row r="273" s="7" customFormat="1"/>
    <row r="274" s="7" customFormat="1"/>
    <row r="310" s="7" customFormat="1"/>
    <row r="311" s="7" customFormat="1"/>
    <row r="312" s="7" customFormat="1"/>
    <row r="348" s="7" customFormat="1"/>
    <row r="349" s="7" customFormat="1"/>
    <row r="350" s="7" customFormat="1"/>
    <row r="386" s="7" customFormat="1"/>
    <row r="387" s="7" customFormat="1"/>
    <row r="388" s="7" customFormat="1"/>
    <row r="424" s="7" customFormat="1"/>
    <row r="425" s="7" customFormat="1"/>
    <row r="426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26"/>
  <sheetViews>
    <sheetView view="pageBreakPreview" zoomScaleNormal="7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67.5" customHeight="1">
      <c r="A5" s="16" t="s">
        <v>23</v>
      </c>
      <c r="B5" s="42" t="s">
        <v>53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C16+C34</f>
        <v>2439038.73</v>
      </c>
      <c r="D15" s="26">
        <f>C15</f>
        <v>2439038.73</v>
      </c>
    </row>
    <row r="16" spans="1:4" s="8" customFormat="1" ht="24">
      <c r="A16" s="24" t="s">
        <v>19</v>
      </c>
      <c r="B16" s="22">
        <v>2000</v>
      </c>
      <c r="C16" s="26">
        <f>C17+C32</f>
        <v>2439038.73</v>
      </c>
      <c r="D16" s="26">
        <f t="shared" ref="D16:D36" si="0">C16</f>
        <v>2439038.73</v>
      </c>
    </row>
    <row r="17" spans="1:4" s="10" customFormat="1">
      <c r="A17" s="21" t="s">
        <v>5</v>
      </c>
      <c r="B17" s="22">
        <v>2200</v>
      </c>
      <c r="C17" s="26">
        <f>C18+C19+C20+C21+C22+C23+C25+C26+C24</f>
        <v>2439038.73</v>
      </c>
      <c r="D17" s="26">
        <f t="shared" si="0"/>
        <v>2439038.73</v>
      </c>
    </row>
    <row r="18" spans="1:4" s="11" customFormat="1">
      <c r="A18" s="27" t="s">
        <v>6</v>
      </c>
      <c r="B18" s="35">
        <v>2210</v>
      </c>
      <c r="C18" s="36">
        <f>1560+880+1379.4+1580.05</f>
        <v>5399.45</v>
      </c>
      <c r="D18" s="26">
        <f t="shared" si="0"/>
        <v>5399.45</v>
      </c>
    </row>
    <row r="19" spans="1:4" s="7" customFormat="1">
      <c r="A19" s="27" t="s">
        <v>35</v>
      </c>
      <c r="B19" s="35">
        <v>2210</v>
      </c>
      <c r="C19" s="37"/>
      <c r="D19" s="26">
        <f t="shared" si="0"/>
        <v>0</v>
      </c>
    </row>
    <row r="20" spans="1:4" s="12" customFormat="1">
      <c r="A20" s="21" t="s">
        <v>37</v>
      </c>
      <c r="B20" s="22">
        <v>2210</v>
      </c>
      <c r="C20" s="30"/>
      <c r="D20" s="26">
        <f t="shared" si="0"/>
        <v>0</v>
      </c>
    </row>
    <row r="21" spans="1:4" s="11" customFormat="1">
      <c r="A21" s="21" t="s">
        <v>7</v>
      </c>
      <c r="B21" s="22">
        <v>2240</v>
      </c>
      <c r="C21" s="26">
        <f>2050+1975+650.94+10158.08+3351.15</f>
        <v>18185.170000000002</v>
      </c>
      <c r="D21" s="26">
        <f t="shared" si="0"/>
        <v>18185.170000000002</v>
      </c>
    </row>
    <row r="22" spans="1:4">
      <c r="A22" s="21" t="s">
        <v>36</v>
      </c>
      <c r="B22" s="22">
        <v>2240</v>
      </c>
      <c r="C22" s="32"/>
      <c r="D22" s="26">
        <f t="shared" si="0"/>
        <v>0</v>
      </c>
    </row>
    <row r="23" spans="1:4">
      <c r="A23" s="21" t="s">
        <v>20</v>
      </c>
      <c r="B23" s="22">
        <v>2240</v>
      </c>
      <c r="C23" s="32">
        <f>4334.61</f>
        <v>4334.6099999999997</v>
      </c>
      <c r="D23" s="26">
        <f t="shared" si="0"/>
        <v>4334.6099999999997</v>
      </c>
    </row>
    <row r="24" spans="1:4" s="34" customFormat="1" ht="21.75">
      <c r="A24" s="21" t="s">
        <v>63</v>
      </c>
      <c r="B24" s="22">
        <v>2240</v>
      </c>
      <c r="C24" s="26">
        <f>70857.19</f>
        <v>70857.19</v>
      </c>
      <c r="D24" s="26">
        <f t="shared" si="0"/>
        <v>70857.19</v>
      </c>
    </row>
    <row r="25" spans="1:4">
      <c r="A25" s="21" t="s">
        <v>37</v>
      </c>
      <c r="B25" s="22">
        <v>2240</v>
      </c>
      <c r="C25" s="32">
        <f>7530.76+1109.7</f>
        <v>8640.4600000000009</v>
      </c>
      <c r="D25" s="26">
        <f t="shared" si="0"/>
        <v>8640.4600000000009</v>
      </c>
    </row>
    <row r="26" spans="1:4" s="11" customFormat="1">
      <c r="A26" s="21" t="s">
        <v>16</v>
      </c>
      <c r="B26" s="22">
        <v>2270</v>
      </c>
      <c r="C26" s="26">
        <f>SUM(C27:C31)</f>
        <v>2331621.85</v>
      </c>
      <c r="D26" s="26">
        <f t="shared" si="0"/>
        <v>2331621.85</v>
      </c>
    </row>
    <row r="27" spans="1:4">
      <c r="A27" s="23" t="s">
        <v>9</v>
      </c>
      <c r="B27" s="24">
        <v>2271</v>
      </c>
      <c r="C27" s="25">
        <f>1419803.8+775556.2</f>
        <v>2195360</v>
      </c>
      <c r="D27" s="25">
        <f t="shared" si="0"/>
        <v>2195360</v>
      </c>
    </row>
    <row r="28" spans="1:4">
      <c r="A28" s="23" t="s">
        <v>10</v>
      </c>
      <c r="B28" s="24">
        <v>2272</v>
      </c>
      <c r="C28" s="25">
        <f>9226.85+765.94</f>
        <v>9992.7900000000009</v>
      </c>
      <c r="D28" s="25">
        <f t="shared" si="0"/>
        <v>9992.7900000000009</v>
      </c>
    </row>
    <row r="29" spans="1:4">
      <c r="A29" s="23" t="s">
        <v>11</v>
      </c>
      <c r="B29" s="24">
        <v>2273</v>
      </c>
      <c r="C29" s="25">
        <f>99492.49+22008.1</f>
        <v>121500.59</v>
      </c>
      <c r="D29" s="25">
        <f t="shared" si="0"/>
        <v>121500.59</v>
      </c>
    </row>
    <row r="30" spans="1:4" hidden="1">
      <c r="A30" s="23" t="s">
        <v>12</v>
      </c>
      <c r="B30" s="24">
        <v>2274</v>
      </c>
      <c r="C30" s="25"/>
      <c r="D30" s="25">
        <f t="shared" si="0"/>
        <v>0</v>
      </c>
    </row>
    <row r="31" spans="1:4">
      <c r="A31" s="23" t="s">
        <v>8</v>
      </c>
      <c r="B31" s="24">
        <v>2275</v>
      </c>
      <c r="C31" s="31">
        <f>1843.56+2924.91</f>
        <v>4768.4699999999993</v>
      </c>
      <c r="D31" s="31">
        <f t="shared" si="0"/>
        <v>4768.4699999999993</v>
      </c>
    </row>
    <row r="32" spans="1:4" s="10" customFormat="1">
      <c r="A32" s="21" t="s">
        <v>13</v>
      </c>
      <c r="B32" s="22">
        <v>2700</v>
      </c>
      <c r="C32" s="25">
        <f>C33</f>
        <v>0</v>
      </c>
      <c r="D32" s="25">
        <f t="shared" si="0"/>
        <v>0</v>
      </c>
    </row>
    <row r="33" spans="1:4">
      <c r="A33" s="23" t="s">
        <v>14</v>
      </c>
      <c r="B33" s="24">
        <v>2730</v>
      </c>
      <c r="C33" s="25"/>
      <c r="D33" s="25">
        <f t="shared" si="0"/>
        <v>0</v>
      </c>
    </row>
    <row r="34" spans="1:4" s="8" customFormat="1">
      <c r="A34" s="22" t="s">
        <v>15</v>
      </c>
      <c r="B34" s="22">
        <v>3000</v>
      </c>
      <c r="C34" s="26">
        <f>C35+C36</f>
        <v>0</v>
      </c>
      <c r="D34" s="26">
        <f t="shared" si="0"/>
        <v>0</v>
      </c>
    </row>
    <row r="35" spans="1:4">
      <c r="A35" s="23" t="s">
        <v>17</v>
      </c>
      <c r="B35" s="24">
        <v>3110</v>
      </c>
      <c r="C35" s="25"/>
      <c r="D35" s="25">
        <f t="shared" si="0"/>
        <v>0</v>
      </c>
    </row>
    <row r="36" spans="1:4">
      <c r="A36" s="23" t="s">
        <v>18</v>
      </c>
      <c r="B36" s="24">
        <v>3132</v>
      </c>
      <c r="C36" s="25"/>
      <c r="D36" s="25">
        <f t="shared" si="0"/>
        <v>0</v>
      </c>
    </row>
    <row r="37" spans="1:4" ht="15.75">
      <c r="A37" s="4"/>
      <c r="C37" s="18"/>
      <c r="D37" s="18"/>
    </row>
    <row r="38" spans="1:4" ht="15" customHeight="1">
      <c r="C38" s="18"/>
      <c r="D38" s="18"/>
    </row>
    <row r="44" spans="1:4" s="7" customFormat="1"/>
    <row r="45" spans="1:4" s="7" customFormat="1"/>
    <row r="46" spans="1:4" s="7" customFormat="1"/>
    <row r="82" s="7" customFormat="1"/>
    <row r="83" s="7" customFormat="1"/>
    <row r="84" s="7" customFormat="1"/>
    <row r="120" s="7" customFormat="1"/>
    <row r="121" s="7" customFormat="1"/>
    <row r="122" s="7" customFormat="1"/>
    <row r="158" s="7" customFormat="1"/>
    <row r="159" s="7" customFormat="1"/>
    <row r="160" s="7" customFormat="1"/>
    <row r="196" s="7" customFormat="1"/>
    <row r="197" s="7" customFormat="1"/>
    <row r="198" s="7" customFormat="1"/>
    <row r="234" s="7" customFormat="1"/>
    <row r="235" s="7" customFormat="1"/>
    <row r="236" s="7" customFormat="1"/>
    <row r="272" s="7" customFormat="1"/>
    <row r="273" s="7" customFormat="1"/>
    <row r="274" s="7" customFormat="1"/>
    <row r="310" s="7" customFormat="1"/>
    <row r="311" s="7" customFormat="1"/>
    <row r="312" s="7" customFormat="1"/>
    <row r="348" s="7" customFormat="1"/>
    <row r="349" s="7" customFormat="1"/>
    <row r="350" s="7" customFormat="1"/>
    <row r="386" s="7" customFormat="1"/>
    <row r="387" s="7" customFormat="1"/>
    <row r="388" s="7" customFormat="1"/>
    <row r="424" s="7" customFormat="1"/>
    <row r="425" s="7" customFormat="1"/>
    <row r="426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26"/>
  <sheetViews>
    <sheetView view="pageBreakPreview" zoomScaleNormal="80" zoomScaleSheetLayoutView="100" workbookViewId="0">
      <selection activeCell="A3" sqref="A3:D3"/>
    </sheetView>
  </sheetViews>
  <sheetFormatPr defaultColWidth="14.390625" defaultRowHeight="15" customHeight="1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63.75" customHeight="1">
      <c r="A5" s="16" t="s">
        <v>23</v>
      </c>
      <c r="B5" s="42" t="s">
        <v>54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C16+C34</f>
        <v>2948284.5999999992</v>
      </c>
      <c r="D15" s="26">
        <f>C15</f>
        <v>2948284.5999999992</v>
      </c>
    </row>
    <row r="16" spans="1:4" s="8" customFormat="1" ht="24">
      <c r="A16" s="24" t="s">
        <v>19</v>
      </c>
      <c r="B16" s="22">
        <v>2000</v>
      </c>
      <c r="C16" s="26">
        <f>C17+C32</f>
        <v>2948284.5999999992</v>
      </c>
      <c r="D16" s="26">
        <f t="shared" ref="D16:D36" si="0">C16</f>
        <v>2948284.5999999992</v>
      </c>
    </row>
    <row r="17" spans="1:4" s="10" customFormat="1">
      <c r="A17" s="21" t="s">
        <v>5</v>
      </c>
      <c r="B17" s="22">
        <v>2200</v>
      </c>
      <c r="C17" s="26">
        <f>C18+C19+C20+C21+C22+C23+C25+C26+C24</f>
        <v>2944624.5999999992</v>
      </c>
      <c r="D17" s="26">
        <f t="shared" si="0"/>
        <v>2944624.5999999992</v>
      </c>
    </row>
    <row r="18" spans="1:4" s="11" customFormat="1">
      <c r="A18" s="27" t="s">
        <v>6</v>
      </c>
      <c r="B18" s="35">
        <v>2210</v>
      </c>
      <c r="C18" s="36">
        <f>1560+880+1379.4+1580.05</f>
        <v>5399.45</v>
      </c>
      <c r="D18" s="36">
        <f t="shared" si="0"/>
        <v>5399.45</v>
      </c>
    </row>
    <row r="19" spans="1:4" s="7" customFormat="1">
      <c r="A19" s="27" t="s">
        <v>35</v>
      </c>
      <c r="B19" s="35">
        <v>2210</v>
      </c>
      <c r="C19" s="37">
        <f>42997.07</f>
        <v>42997.07</v>
      </c>
      <c r="D19" s="37">
        <f t="shared" si="0"/>
        <v>42997.07</v>
      </c>
    </row>
    <row r="20" spans="1:4" s="12" customFormat="1">
      <c r="A20" s="21" t="s">
        <v>37</v>
      </c>
      <c r="B20" s="22">
        <v>2210</v>
      </c>
      <c r="C20" s="30"/>
      <c r="D20" s="30">
        <f t="shared" si="0"/>
        <v>0</v>
      </c>
    </row>
    <row r="21" spans="1:4" s="11" customFormat="1">
      <c r="A21" s="21" t="s">
        <v>7</v>
      </c>
      <c r="B21" s="22">
        <v>2240</v>
      </c>
      <c r="C21" s="26">
        <f>2050+3075+1730.94+7413.08+3351.15</f>
        <v>17620.170000000002</v>
      </c>
      <c r="D21" s="26">
        <f t="shared" si="0"/>
        <v>17620.170000000002</v>
      </c>
    </row>
    <row r="22" spans="1:4">
      <c r="A22" s="21" t="s">
        <v>36</v>
      </c>
      <c r="B22" s="22">
        <v>2240</v>
      </c>
      <c r="C22" s="32"/>
      <c r="D22" s="32">
        <f t="shared" si="0"/>
        <v>0</v>
      </c>
    </row>
    <row r="23" spans="1:4">
      <c r="A23" s="21" t="s">
        <v>20</v>
      </c>
      <c r="B23" s="22">
        <v>2240</v>
      </c>
      <c r="C23" s="32"/>
      <c r="D23" s="32">
        <f t="shared" si="0"/>
        <v>0</v>
      </c>
    </row>
    <row r="24" spans="1:4" s="34" customFormat="1" ht="21.75">
      <c r="A24" s="21" t="s">
        <v>63</v>
      </c>
      <c r="B24" s="22">
        <v>2240</v>
      </c>
      <c r="C24" s="26">
        <f>26603.28</f>
        <v>26603.279999999999</v>
      </c>
      <c r="D24" s="26">
        <f t="shared" si="0"/>
        <v>26603.279999999999</v>
      </c>
    </row>
    <row r="25" spans="1:4">
      <c r="A25" s="21" t="s">
        <v>37</v>
      </c>
      <c r="B25" s="22">
        <v>2240</v>
      </c>
      <c r="C25" s="32">
        <f>6665.34+2502.5</f>
        <v>9167.84</v>
      </c>
      <c r="D25" s="32">
        <f t="shared" si="0"/>
        <v>9167.84</v>
      </c>
    </row>
    <row r="26" spans="1:4" s="11" customFormat="1">
      <c r="A26" s="21" t="s">
        <v>16</v>
      </c>
      <c r="B26" s="22">
        <v>2270</v>
      </c>
      <c r="C26" s="26">
        <f>SUM(C27:C31)</f>
        <v>2842836.7899999996</v>
      </c>
      <c r="D26" s="26">
        <f t="shared" si="0"/>
        <v>2842836.7899999996</v>
      </c>
    </row>
    <row r="27" spans="1:4">
      <c r="A27" s="23" t="s">
        <v>9</v>
      </c>
      <c r="B27" s="24">
        <v>2271</v>
      </c>
      <c r="C27" s="25">
        <f>1892067.31+445478.17</f>
        <v>2337545.48</v>
      </c>
      <c r="D27" s="25">
        <f t="shared" si="0"/>
        <v>2337545.48</v>
      </c>
    </row>
    <row r="28" spans="1:4">
      <c r="A28" s="23" t="s">
        <v>10</v>
      </c>
      <c r="B28" s="24">
        <v>2272</v>
      </c>
      <c r="C28" s="25">
        <f>15734.93+102.91</f>
        <v>15837.84</v>
      </c>
      <c r="D28" s="25">
        <f t="shared" si="0"/>
        <v>15837.84</v>
      </c>
    </row>
    <row r="29" spans="1:4">
      <c r="A29" s="23" t="s">
        <v>11</v>
      </c>
      <c r="B29" s="24">
        <v>2273</v>
      </c>
      <c r="C29" s="25">
        <f>337901.24+143805.71</f>
        <v>481706.94999999995</v>
      </c>
      <c r="D29" s="25">
        <f t="shared" si="0"/>
        <v>481706.94999999995</v>
      </c>
    </row>
    <row r="30" spans="1:4" hidden="1">
      <c r="A30" s="23" t="s">
        <v>12</v>
      </c>
      <c r="B30" s="24">
        <v>2274</v>
      </c>
      <c r="C30" s="25"/>
      <c r="D30" s="25">
        <f t="shared" si="0"/>
        <v>0</v>
      </c>
    </row>
    <row r="31" spans="1:4">
      <c r="A31" s="23" t="s">
        <v>8</v>
      </c>
      <c r="B31" s="24">
        <v>2275</v>
      </c>
      <c r="C31" s="31">
        <f>4821.61+2924.91</f>
        <v>7746.5199999999995</v>
      </c>
      <c r="D31" s="31">
        <f t="shared" si="0"/>
        <v>7746.5199999999995</v>
      </c>
    </row>
    <row r="32" spans="1:4" s="10" customFormat="1">
      <c r="A32" s="21" t="s">
        <v>13</v>
      </c>
      <c r="B32" s="22">
        <v>2700</v>
      </c>
      <c r="C32" s="26">
        <f>C33</f>
        <v>3660</v>
      </c>
      <c r="D32" s="26">
        <f t="shared" si="0"/>
        <v>3660</v>
      </c>
    </row>
    <row r="33" spans="1:4">
      <c r="A33" s="23" t="s">
        <v>14</v>
      </c>
      <c r="B33" s="24">
        <v>2730</v>
      </c>
      <c r="C33" s="25">
        <v>3660</v>
      </c>
      <c r="D33" s="25">
        <f t="shared" si="0"/>
        <v>3660</v>
      </c>
    </row>
    <row r="34" spans="1:4" s="8" customFormat="1">
      <c r="A34" s="22" t="s">
        <v>15</v>
      </c>
      <c r="B34" s="22">
        <v>3000</v>
      </c>
      <c r="C34" s="26">
        <f>C35+C36</f>
        <v>0</v>
      </c>
      <c r="D34" s="26">
        <f t="shared" si="0"/>
        <v>0</v>
      </c>
    </row>
    <row r="35" spans="1:4">
      <c r="A35" s="23" t="s">
        <v>17</v>
      </c>
      <c r="B35" s="24">
        <v>3110</v>
      </c>
      <c r="C35" s="25"/>
      <c r="D35" s="25">
        <f t="shared" si="0"/>
        <v>0</v>
      </c>
    </row>
    <row r="36" spans="1:4">
      <c r="A36" s="23" t="s">
        <v>18</v>
      </c>
      <c r="B36" s="24">
        <v>3132</v>
      </c>
      <c r="C36" s="25"/>
      <c r="D36" s="25">
        <f t="shared" si="0"/>
        <v>0</v>
      </c>
    </row>
    <row r="37" spans="1:4" ht="15.75">
      <c r="A37" s="4"/>
      <c r="C37" s="18"/>
    </row>
    <row r="44" spans="1:4" s="7" customFormat="1"/>
    <row r="45" spans="1:4" s="7" customFormat="1"/>
    <row r="46" spans="1:4" s="7" customFormat="1"/>
    <row r="82" s="7" customFormat="1"/>
    <row r="83" s="7" customFormat="1"/>
    <row r="84" s="7" customFormat="1"/>
    <row r="120" s="7" customFormat="1"/>
    <row r="121" s="7" customFormat="1"/>
    <row r="122" s="7" customFormat="1"/>
    <row r="158" s="7" customFormat="1"/>
    <row r="159" s="7" customFormat="1"/>
    <row r="160" s="7" customFormat="1"/>
    <row r="196" s="7" customFormat="1"/>
    <row r="197" s="7" customFormat="1"/>
    <row r="198" s="7" customFormat="1"/>
    <row r="234" s="7" customFormat="1"/>
    <row r="235" s="7" customFormat="1"/>
    <row r="236" s="7" customFormat="1"/>
    <row r="272" s="7" customFormat="1"/>
    <row r="273" s="7" customFormat="1"/>
    <row r="274" s="7" customFormat="1"/>
    <row r="310" s="7" customFormat="1"/>
    <row r="311" s="7" customFormat="1"/>
    <row r="312" s="7" customFormat="1"/>
    <row r="348" s="7" customFormat="1"/>
    <row r="349" s="7" customFormat="1"/>
    <row r="350" s="7" customFormat="1"/>
    <row r="386" s="7" customFormat="1"/>
    <row r="387" s="7" customFormat="1"/>
    <row r="388" s="7" customFormat="1"/>
    <row r="424" s="7" customFormat="1"/>
    <row r="425" s="7" customFormat="1"/>
    <row r="426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26"/>
  <sheetViews>
    <sheetView view="pageBreakPreview" zoomScaleNormal="80" zoomScaleSheetLayoutView="100" workbookViewId="0">
      <selection activeCell="A3" sqref="A3:D3"/>
    </sheetView>
  </sheetViews>
  <sheetFormatPr defaultColWidth="14.390625" defaultRowHeight="15" customHeight="1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63.75" customHeight="1">
      <c r="A5" s="16" t="s">
        <v>23</v>
      </c>
      <c r="B5" s="42" t="s">
        <v>55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C16+C34</f>
        <v>2400770.8299999996</v>
      </c>
      <c r="D15" s="26">
        <f>C15</f>
        <v>2400770.8299999996</v>
      </c>
    </row>
    <row r="16" spans="1:4" s="8" customFormat="1" ht="24">
      <c r="A16" s="24" t="s">
        <v>19</v>
      </c>
      <c r="B16" s="22">
        <v>2000</v>
      </c>
      <c r="C16" s="26">
        <f>C17+C32</f>
        <v>2400770.8299999996</v>
      </c>
      <c r="D16" s="26">
        <f t="shared" ref="D16:D36" si="0">C16</f>
        <v>2400770.8299999996</v>
      </c>
    </row>
    <row r="17" spans="1:4" s="10" customFormat="1">
      <c r="A17" s="21" t="s">
        <v>5</v>
      </c>
      <c r="B17" s="22">
        <v>2200</v>
      </c>
      <c r="C17" s="26">
        <f>C18+C19+C20+C21+C22+C23+C25+C26+C24</f>
        <v>2400770.8299999996</v>
      </c>
      <c r="D17" s="26">
        <f t="shared" si="0"/>
        <v>2400770.8299999996</v>
      </c>
    </row>
    <row r="18" spans="1:4" s="11" customFormat="1">
      <c r="A18" s="27" t="s">
        <v>6</v>
      </c>
      <c r="B18" s="35">
        <v>2210</v>
      </c>
      <c r="C18" s="36">
        <f>2340+3080+10714+1379.4+1580.05</f>
        <v>19093.45</v>
      </c>
      <c r="D18" s="26">
        <f t="shared" si="0"/>
        <v>19093.45</v>
      </c>
    </row>
    <row r="19" spans="1:4" s="7" customFormat="1">
      <c r="A19" s="27" t="s">
        <v>35</v>
      </c>
      <c r="B19" s="35">
        <v>2210</v>
      </c>
      <c r="C19" s="37">
        <f>12628.15</f>
        <v>12628.15</v>
      </c>
      <c r="D19" s="26">
        <f t="shared" si="0"/>
        <v>12628.15</v>
      </c>
    </row>
    <row r="20" spans="1:4" s="12" customFormat="1">
      <c r="A20" s="21" t="s">
        <v>37</v>
      </c>
      <c r="B20" s="22">
        <v>2210</v>
      </c>
      <c r="C20" s="30"/>
      <c r="D20" s="26">
        <f t="shared" si="0"/>
        <v>0</v>
      </c>
    </row>
    <row r="21" spans="1:4" s="11" customFormat="1">
      <c r="A21" s="21" t="s">
        <v>7</v>
      </c>
      <c r="B21" s="22">
        <v>2240</v>
      </c>
      <c r="C21" s="26">
        <f>1750+850+1190.94+1764+13304.11+15147+16600+3351.15</f>
        <v>53957.200000000004</v>
      </c>
      <c r="D21" s="26">
        <f t="shared" si="0"/>
        <v>53957.200000000004</v>
      </c>
    </row>
    <row r="22" spans="1:4">
      <c r="A22" s="21" t="s">
        <v>36</v>
      </c>
      <c r="B22" s="22">
        <v>2240</v>
      </c>
      <c r="C22" s="32">
        <f>25000+36000</f>
        <v>61000</v>
      </c>
      <c r="D22" s="26">
        <f t="shared" si="0"/>
        <v>61000</v>
      </c>
    </row>
    <row r="23" spans="1:4">
      <c r="A23" s="21" t="s">
        <v>20</v>
      </c>
      <c r="B23" s="22">
        <v>2240</v>
      </c>
      <c r="C23" s="32"/>
      <c r="D23" s="26">
        <f t="shared" si="0"/>
        <v>0</v>
      </c>
    </row>
    <row r="24" spans="1:4" s="34" customFormat="1" ht="21.75">
      <c r="A24" s="21" t="s">
        <v>63</v>
      </c>
      <c r="B24" s="22">
        <v>2240</v>
      </c>
      <c r="C24" s="26">
        <f>12024.96+19718.36</f>
        <v>31743.32</v>
      </c>
      <c r="D24" s="26">
        <f t="shared" si="0"/>
        <v>31743.32</v>
      </c>
    </row>
    <row r="25" spans="1:4">
      <c r="A25" s="21" t="s">
        <v>37</v>
      </c>
      <c r="B25" s="22">
        <v>2240</v>
      </c>
      <c r="C25" s="32">
        <f>5506.26+1731.93+1267.5</f>
        <v>8505.69</v>
      </c>
      <c r="D25" s="26">
        <f t="shared" si="0"/>
        <v>8505.69</v>
      </c>
    </row>
    <row r="26" spans="1:4" s="11" customFormat="1">
      <c r="A26" s="21" t="s">
        <v>16</v>
      </c>
      <c r="B26" s="22">
        <v>2270</v>
      </c>
      <c r="C26" s="26">
        <f>SUM(C27:C31)</f>
        <v>2213843.02</v>
      </c>
      <c r="D26" s="26">
        <f t="shared" si="0"/>
        <v>2213843.02</v>
      </c>
    </row>
    <row r="27" spans="1:4">
      <c r="A27" s="23" t="s">
        <v>9</v>
      </c>
      <c r="B27" s="24">
        <v>2271</v>
      </c>
      <c r="C27" s="25">
        <f>1383229.12+358544.51</f>
        <v>1741773.6300000001</v>
      </c>
      <c r="D27" s="25">
        <f t="shared" si="0"/>
        <v>1741773.6300000001</v>
      </c>
    </row>
    <row r="28" spans="1:4">
      <c r="A28" s="23" t="s">
        <v>10</v>
      </c>
      <c r="B28" s="24">
        <v>2272</v>
      </c>
      <c r="C28" s="25">
        <f>40989.07+7375.68</f>
        <v>48364.75</v>
      </c>
      <c r="D28" s="25">
        <f t="shared" si="0"/>
        <v>48364.75</v>
      </c>
    </row>
    <row r="29" spans="1:4">
      <c r="A29" s="23" t="s">
        <v>11</v>
      </c>
      <c r="B29" s="24">
        <v>2273</v>
      </c>
      <c r="C29" s="25">
        <f>340289.95+75752.86</f>
        <v>416042.81</v>
      </c>
      <c r="D29" s="25">
        <f t="shared" si="0"/>
        <v>416042.81</v>
      </c>
    </row>
    <row r="30" spans="1:4" hidden="1">
      <c r="A30" s="23" t="s">
        <v>12</v>
      </c>
      <c r="B30" s="24">
        <v>2274</v>
      </c>
      <c r="C30" s="25"/>
      <c r="D30" s="25">
        <f t="shared" si="0"/>
        <v>0</v>
      </c>
    </row>
    <row r="31" spans="1:4">
      <c r="A31" s="23" t="s">
        <v>8</v>
      </c>
      <c r="B31" s="24">
        <v>2275</v>
      </c>
      <c r="C31" s="31">
        <f>4537.98+3123.85</f>
        <v>7661.83</v>
      </c>
      <c r="D31" s="31">
        <f t="shared" si="0"/>
        <v>7661.83</v>
      </c>
    </row>
    <row r="32" spans="1:4" s="10" customFormat="1">
      <c r="A32" s="21" t="s">
        <v>13</v>
      </c>
      <c r="B32" s="22">
        <v>2700</v>
      </c>
      <c r="C32" s="25">
        <f>C33</f>
        <v>0</v>
      </c>
      <c r="D32" s="25">
        <f t="shared" si="0"/>
        <v>0</v>
      </c>
    </row>
    <row r="33" spans="1:4">
      <c r="A33" s="23" t="s">
        <v>14</v>
      </c>
      <c r="B33" s="24">
        <v>2730</v>
      </c>
      <c r="C33" s="25"/>
      <c r="D33" s="25">
        <f t="shared" si="0"/>
        <v>0</v>
      </c>
    </row>
    <row r="34" spans="1:4" s="8" customFormat="1">
      <c r="A34" s="22" t="s">
        <v>15</v>
      </c>
      <c r="B34" s="22">
        <v>3000</v>
      </c>
      <c r="C34" s="26">
        <f>C35+C36</f>
        <v>0</v>
      </c>
      <c r="D34" s="26">
        <f t="shared" si="0"/>
        <v>0</v>
      </c>
    </row>
    <row r="35" spans="1:4">
      <c r="A35" s="23" t="s">
        <v>17</v>
      </c>
      <c r="B35" s="24">
        <v>3110</v>
      </c>
      <c r="C35" s="25"/>
      <c r="D35" s="25">
        <f t="shared" si="0"/>
        <v>0</v>
      </c>
    </row>
    <row r="36" spans="1:4">
      <c r="A36" s="23" t="s">
        <v>18</v>
      </c>
      <c r="B36" s="24">
        <v>3132</v>
      </c>
      <c r="C36" s="25"/>
      <c r="D36" s="25">
        <f t="shared" si="0"/>
        <v>0</v>
      </c>
    </row>
    <row r="37" spans="1:4" ht="15.75">
      <c r="A37" s="4"/>
      <c r="C37" s="18"/>
      <c r="D37" s="18"/>
    </row>
    <row r="38" spans="1:4" ht="15" customHeight="1">
      <c r="C38" s="18"/>
      <c r="D38" s="18"/>
    </row>
    <row r="39" spans="1:4" ht="15" customHeight="1">
      <c r="C39" s="18"/>
      <c r="D39" s="18"/>
    </row>
    <row r="44" spans="1:4" s="7" customFormat="1"/>
    <row r="45" spans="1:4" s="7" customFormat="1"/>
    <row r="46" spans="1:4" s="7" customFormat="1"/>
    <row r="82" s="7" customFormat="1"/>
    <row r="83" s="7" customFormat="1"/>
    <row r="84" s="7" customFormat="1"/>
    <row r="120" s="7" customFormat="1"/>
    <row r="121" s="7" customFormat="1"/>
    <row r="122" s="7" customFormat="1"/>
    <row r="158" s="7" customFormat="1"/>
    <row r="159" s="7" customFormat="1"/>
    <row r="160" s="7" customFormat="1"/>
    <row r="196" s="7" customFormat="1"/>
    <row r="197" s="7" customFormat="1"/>
    <row r="198" s="7" customFormat="1"/>
    <row r="234" s="7" customFormat="1"/>
    <row r="235" s="7" customFormat="1"/>
    <row r="236" s="7" customFormat="1"/>
    <row r="272" s="7" customFormat="1"/>
    <row r="273" s="7" customFormat="1"/>
    <row r="274" s="7" customFormat="1"/>
    <row r="310" s="7" customFormat="1"/>
    <row r="311" s="7" customFormat="1"/>
    <row r="312" s="7" customFormat="1"/>
    <row r="348" s="7" customFormat="1"/>
    <row r="349" s="7" customFormat="1"/>
    <row r="350" s="7" customFormat="1"/>
    <row r="386" s="7" customFormat="1"/>
    <row r="387" s="7" customFormat="1"/>
    <row r="388" s="7" customFormat="1"/>
    <row r="424" s="7" customFormat="1"/>
    <row r="425" s="7" customFormat="1"/>
    <row r="426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26"/>
  <sheetViews>
    <sheetView view="pageBreakPreview" zoomScaleNormal="8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63.75" customHeight="1">
      <c r="A5" s="16" t="s">
        <v>23</v>
      </c>
      <c r="B5" s="42" t="s">
        <v>56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C16+C34</f>
        <v>2661752.39</v>
      </c>
      <c r="D15" s="26">
        <f>C15</f>
        <v>2661752.39</v>
      </c>
    </row>
    <row r="16" spans="1:4" s="8" customFormat="1" ht="24">
      <c r="A16" s="24" t="s">
        <v>19</v>
      </c>
      <c r="B16" s="22">
        <v>2000</v>
      </c>
      <c r="C16" s="26">
        <f>C17+C32</f>
        <v>2661752.39</v>
      </c>
      <c r="D16" s="26">
        <f t="shared" ref="D16:D35" si="0">C16</f>
        <v>2661752.39</v>
      </c>
    </row>
    <row r="17" spans="1:4" s="10" customFormat="1">
      <c r="A17" s="21" t="s">
        <v>5</v>
      </c>
      <c r="B17" s="22">
        <v>2200</v>
      </c>
      <c r="C17" s="26">
        <f>C18+C19+C20+C21+C22+C23+C25+C26+C24</f>
        <v>2655652.39</v>
      </c>
      <c r="D17" s="26">
        <f t="shared" si="0"/>
        <v>2655652.39</v>
      </c>
    </row>
    <row r="18" spans="1:4" s="11" customFormat="1">
      <c r="A18" s="27" t="s">
        <v>6</v>
      </c>
      <c r="B18" s="35">
        <v>2210</v>
      </c>
      <c r="C18" s="36">
        <f>4680+5280+1379.4+1580.05</f>
        <v>12919.449999999999</v>
      </c>
      <c r="D18" s="26">
        <f t="shared" si="0"/>
        <v>12919.449999999999</v>
      </c>
    </row>
    <row r="19" spans="1:4" s="7" customFormat="1">
      <c r="A19" s="27" t="s">
        <v>35</v>
      </c>
      <c r="B19" s="35">
        <v>2210</v>
      </c>
      <c r="C19" s="37">
        <f>99999.84</f>
        <v>99999.84</v>
      </c>
      <c r="D19" s="26">
        <f t="shared" si="0"/>
        <v>99999.84</v>
      </c>
    </row>
    <row r="20" spans="1:4" s="12" customFormat="1">
      <c r="A20" s="21" t="s">
        <v>37</v>
      </c>
      <c r="B20" s="22">
        <v>2210</v>
      </c>
      <c r="C20" s="30"/>
      <c r="D20" s="26">
        <f t="shared" si="0"/>
        <v>0</v>
      </c>
    </row>
    <row r="21" spans="1:4" s="11" customFormat="1">
      <c r="A21" s="21" t="s">
        <v>7</v>
      </c>
      <c r="B21" s="22">
        <v>2240</v>
      </c>
      <c r="C21" s="26">
        <f>2050+2475+2810.94+9385.14+3351.15</f>
        <v>20072.230000000003</v>
      </c>
      <c r="D21" s="26">
        <f t="shared" si="0"/>
        <v>20072.230000000003</v>
      </c>
    </row>
    <row r="22" spans="1:4">
      <c r="A22" s="21" t="s">
        <v>36</v>
      </c>
      <c r="B22" s="22">
        <v>2240</v>
      </c>
      <c r="C22" s="32">
        <f>80000+29928.83+49000</f>
        <v>158928.83000000002</v>
      </c>
      <c r="D22" s="26">
        <f t="shared" si="0"/>
        <v>158928.83000000002</v>
      </c>
    </row>
    <row r="23" spans="1:4">
      <c r="A23" s="21" t="s">
        <v>20</v>
      </c>
      <c r="B23" s="22">
        <v>2240</v>
      </c>
      <c r="C23" s="32"/>
      <c r="D23" s="26">
        <f t="shared" si="0"/>
        <v>0</v>
      </c>
    </row>
    <row r="24" spans="1:4" s="34" customFormat="1" ht="21.75">
      <c r="A24" s="21" t="s">
        <v>63</v>
      </c>
      <c r="B24" s="22">
        <v>2240</v>
      </c>
      <c r="C24" s="26">
        <f>34024.5</f>
        <v>34024.5</v>
      </c>
      <c r="D24" s="26">
        <f t="shared" si="0"/>
        <v>34024.5</v>
      </c>
    </row>
    <row r="25" spans="1:4">
      <c r="A25" s="21" t="s">
        <v>37</v>
      </c>
      <c r="B25" s="22">
        <v>2240</v>
      </c>
      <c r="C25" s="32">
        <f>2620.45+1397.5</f>
        <v>4017.95</v>
      </c>
      <c r="D25" s="26">
        <f t="shared" si="0"/>
        <v>4017.95</v>
      </c>
    </row>
    <row r="26" spans="1:4" s="11" customFormat="1">
      <c r="A26" s="21" t="s">
        <v>16</v>
      </c>
      <c r="B26" s="22">
        <v>2270</v>
      </c>
      <c r="C26" s="26">
        <f>SUM(C27:C31)</f>
        <v>2325689.5900000003</v>
      </c>
      <c r="D26" s="26">
        <f t="shared" si="0"/>
        <v>2325689.5900000003</v>
      </c>
    </row>
    <row r="27" spans="1:4">
      <c r="A27" s="23" t="s">
        <v>9</v>
      </c>
      <c r="B27" s="24">
        <v>2271</v>
      </c>
      <c r="C27" s="25">
        <f>1304177.34+795308.74</f>
        <v>2099486.08</v>
      </c>
      <c r="D27" s="25">
        <f t="shared" si="0"/>
        <v>2099486.08</v>
      </c>
    </row>
    <row r="28" spans="1:4">
      <c r="A28" s="23" t="s">
        <v>10</v>
      </c>
      <c r="B28" s="24">
        <v>2272</v>
      </c>
      <c r="C28" s="25">
        <f>24169.25+6581.38</f>
        <v>30750.63</v>
      </c>
      <c r="D28" s="25">
        <f t="shared" si="0"/>
        <v>30750.63</v>
      </c>
    </row>
    <row r="29" spans="1:4">
      <c r="A29" s="23" t="s">
        <v>11</v>
      </c>
      <c r="B29" s="24">
        <v>2273</v>
      </c>
      <c r="C29" s="25">
        <f>129234.3+57621.19</f>
        <v>186855.49</v>
      </c>
      <c r="D29" s="25">
        <f t="shared" si="0"/>
        <v>186855.49</v>
      </c>
    </row>
    <row r="30" spans="1:4" hidden="1">
      <c r="A30" s="23" t="s">
        <v>12</v>
      </c>
      <c r="B30" s="24">
        <v>2274</v>
      </c>
      <c r="C30" s="25"/>
      <c r="D30" s="25">
        <f t="shared" si="0"/>
        <v>0</v>
      </c>
    </row>
    <row r="31" spans="1:4">
      <c r="A31" s="23" t="s">
        <v>8</v>
      </c>
      <c r="B31" s="24">
        <v>2275</v>
      </c>
      <c r="C31" s="31">
        <f>5814.29+2783.1</f>
        <v>8597.39</v>
      </c>
      <c r="D31" s="31">
        <f t="shared" si="0"/>
        <v>8597.39</v>
      </c>
    </row>
    <row r="32" spans="1:4" s="10" customFormat="1">
      <c r="A32" s="21" t="s">
        <v>13</v>
      </c>
      <c r="B32" s="22">
        <v>2700</v>
      </c>
      <c r="C32" s="26">
        <f>C33</f>
        <v>6100</v>
      </c>
      <c r="D32" s="26">
        <f t="shared" si="0"/>
        <v>6100</v>
      </c>
    </row>
    <row r="33" spans="1:4">
      <c r="A33" s="23" t="s">
        <v>14</v>
      </c>
      <c r="B33" s="24">
        <v>2730</v>
      </c>
      <c r="C33" s="25">
        <v>6100</v>
      </c>
      <c r="D33" s="25">
        <f t="shared" si="0"/>
        <v>6100</v>
      </c>
    </row>
    <row r="34" spans="1:4" s="8" customFormat="1">
      <c r="A34" s="22" t="s">
        <v>15</v>
      </c>
      <c r="B34" s="22">
        <v>3000</v>
      </c>
      <c r="C34" s="26">
        <f>C35+C36</f>
        <v>0</v>
      </c>
      <c r="D34" s="26">
        <f t="shared" si="0"/>
        <v>0</v>
      </c>
    </row>
    <row r="35" spans="1:4">
      <c r="A35" s="23" t="s">
        <v>17</v>
      </c>
      <c r="B35" s="24">
        <v>3110</v>
      </c>
      <c r="C35" s="25"/>
      <c r="D35" s="25">
        <f t="shared" si="0"/>
        <v>0</v>
      </c>
    </row>
    <row r="36" spans="1:4">
      <c r="A36" s="23" t="s">
        <v>18</v>
      </c>
      <c r="B36" s="24">
        <v>3132</v>
      </c>
      <c r="C36" s="25"/>
      <c r="D36" s="25">
        <f>C36</f>
        <v>0</v>
      </c>
    </row>
    <row r="37" spans="1:4" ht="15.75">
      <c r="A37" s="4"/>
      <c r="C37" s="18"/>
      <c r="D37" s="18"/>
    </row>
    <row r="38" spans="1:4" ht="15" customHeight="1">
      <c r="C38" s="18"/>
      <c r="D38" s="18"/>
    </row>
    <row r="44" spans="1:4" s="7" customFormat="1"/>
    <row r="45" spans="1:4" s="7" customFormat="1"/>
    <row r="46" spans="1:4" s="7" customFormat="1"/>
    <row r="82" s="7" customFormat="1"/>
    <row r="83" s="7" customFormat="1"/>
    <row r="84" s="7" customFormat="1"/>
    <row r="120" s="7" customFormat="1"/>
    <row r="121" s="7" customFormat="1"/>
    <row r="122" s="7" customFormat="1"/>
    <row r="158" s="7" customFormat="1"/>
    <row r="159" s="7" customFormat="1"/>
    <row r="160" s="7" customFormat="1"/>
    <row r="196" s="7" customFormat="1"/>
    <row r="197" s="7" customFormat="1"/>
    <row r="198" s="7" customFormat="1"/>
    <row r="234" s="7" customFormat="1"/>
    <row r="235" s="7" customFormat="1"/>
    <row r="236" s="7" customFormat="1"/>
    <row r="272" s="7" customFormat="1"/>
    <row r="273" s="7" customFormat="1"/>
    <row r="274" s="7" customFormat="1"/>
    <row r="310" s="7" customFormat="1"/>
    <row r="311" s="7" customFormat="1"/>
    <row r="312" s="7" customFormat="1"/>
    <row r="348" s="7" customFormat="1"/>
    <row r="349" s="7" customFormat="1"/>
    <row r="350" s="7" customFormat="1"/>
    <row r="386" s="7" customFormat="1"/>
    <row r="387" s="7" customFormat="1"/>
    <row r="388" s="7" customFormat="1"/>
    <row r="424" s="7" customFormat="1"/>
    <row r="425" s="7" customFormat="1"/>
    <row r="426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6"/>
  <sheetViews>
    <sheetView view="pageBreakPreview" zoomScaleNormal="80" zoomScaleSheetLayoutView="100" workbookViewId="0">
      <selection activeCell="E1" sqref="E1:G1048576"/>
    </sheetView>
  </sheetViews>
  <sheetFormatPr defaultColWidth="14.390625" defaultRowHeight="15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52.5" customHeight="1">
      <c r="A5" s="16" t="s">
        <v>23</v>
      </c>
      <c r="B5" s="42" t="s">
        <v>39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C16+C34</f>
        <v>1983127.9500000002</v>
      </c>
      <c r="D15" s="26">
        <f>C15</f>
        <v>1983127.9500000002</v>
      </c>
    </row>
    <row r="16" spans="1:4" s="8" customFormat="1" ht="24">
      <c r="A16" s="24" t="s">
        <v>19</v>
      </c>
      <c r="B16" s="39">
        <v>2000</v>
      </c>
      <c r="C16" s="32">
        <f>C17+C32</f>
        <v>1914427.9500000002</v>
      </c>
      <c r="D16" s="32">
        <f t="shared" ref="D16:D36" si="0">C16</f>
        <v>1914427.9500000002</v>
      </c>
    </row>
    <row r="17" spans="1:4" s="10" customFormat="1">
      <c r="A17" s="21" t="s">
        <v>5</v>
      </c>
      <c r="B17" s="39">
        <v>2200</v>
      </c>
      <c r="C17" s="32">
        <f>C18+C19+C20+C21+C22+C23+C25+C26+C24</f>
        <v>1914427.9500000002</v>
      </c>
      <c r="D17" s="32">
        <f t="shared" si="0"/>
        <v>1914427.9500000002</v>
      </c>
    </row>
    <row r="18" spans="1:4" s="11" customFormat="1">
      <c r="A18" s="27" t="s">
        <v>6</v>
      </c>
      <c r="B18" s="38">
        <v>2210</v>
      </c>
      <c r="C18" s="29">
        <f>1560+880+1379.4+1580.05</f>
        <v>5399.45</v>
      </c>
      <c r="D18" s="29">
        <f t="shared" si="0"/>
        <v>5399.45</v>
      </c>
    </row>
    <row r="19" spans="1:4" s="7" customFormat="1">
      <c r="A19" s="27" t="s">
        <v>35</v>
      </c>
      <c r="B19" s="38">
        <v>2210</v>
      </c>
      <c r="C19" s="30"/>
      <c r="D19" s="30">
        <f t="shared" si="0"/>
        <v>0</v>
      </c>
    </row>
    <row r="20" spans="1:4" s="12" customFormat="1">
      <c r="A20" s="21" t="s">
        <v>37</v>
      </c>
      <c r="B20" s="39">
        <v>2210</v>
      </c>
      <c r="C20" s="32"/>
      <c r="D20" s="32">
        <f t="shared" si="0"/>
        <v>0</v>
      </c>
    </row>
    <row r="21" spans="1:4" s="11" customFormat="1">
      <c r="A21" s="21" t="s">
        <v>7</v>
      </c>
      <c r="B21" s="39">
        <v>2240</v>
      </c>
      <c r="C21" s="32">
        <f>2050+2200+2018.94+12361.87+10098+3351.15</f>
        <v>32079.960000000003</v>
      </c>
      <c r="D21" s="32">
        <f t="shared" si="0"/>
        <v>32079.960000000003</v>
      </c>
    </row>
    <row r="22" spans="1:4">
      <c r="A22" s="21" t="s">
        <v>36</v>
      </c>
      <c r="B22" s="39">
        <v>2240</v>
      </c>
      <c r="C22" s="32"/>
      <c r="D22" s="32">
        <f t="shared" si="0"/>
        <v>0</v>
      </c>
    </row>
    <row r="23" spans="1:4">
      <c r="A23" s="21" t="s">
        <v>20</v>
      </c>
      <c r="B23" s="39">
        <v>2240</v>
      </c>
      <c r="C23" s="32">
        <f>84892.75</f>
        <v>84892.75</v>
      </c>
      <c r="D23" s="32">
        <f t="shared" si="0"/>
        <v>84892.75</v>
      </c>
    </row>
    <row r="24" spans="1:4" s="34" customFormat="1" ht="21.75">
      <c r="A24" s="21" t="s">
        <v>63</v>
      </c>
      <c r="B24" s="39">
        <v>2240</v>
      </c>
      <c r="C24" s="32">
        <f>728.46+4283.09+50675.82</f>
        <v>55687.37</v>
      </c>
      <c r="D24" s="32">
        <f t="shared" si="0"/>
        <v>55687.37</v>
      </c>
    </row>
    <row r="25" spans="1:4">
      <c r="A25" s="21" t="s">
        <v>37</v>
      </c>
      <c r="B25" s="39">
        <v>2240</v>
      </c>
      <c r="C25" s="32">
        <f>6379.09+1592.5+27881+6630.16</f>
        <v>42482.75</v>
      </c>
      <c r="D25" s="32">
        <f t="shared" si="0"/>
        <v>42482.75</v>
      </c>
    </row>
    <row r="26" spans="1:4" s="11" customFormat="1">
      <c r="A26" s="21" t="s">
        <v>16</v>
      </c>
      <c r="B26" s="39">
        <v>2270</v>
      </c>
      <c r="C26" s="32">
        <f>SUM(C27:C31)</f>
        <v>1693885.6700000002</v>
      </c>
      <c r="D26" s="32">
        <f t="shared" si="0"/>
        <v>1693885.6700000002</v>
      </c>
    </row>
    <row r="27" spans="1:4">
      <c r="A27" s="23" t="s">
        <v>9</v>
      </c>
      <c r="B27" s="40">
        <v>2271</v>
      </c>
      <c r="C27" s="31">
        <f>1224977.14+243822.61</f>
        <v>1468799.75</v>
      </c>
      <c r="D27" s="31">
        <f t="shared" si="0"/>
        <v>1468799.75</v>
      </c>
    </row>
    <row r="28" spans="1:4">
      <c r="A28" s="23" t="s">
        <v>10</v>
      </c>
      <c r="B28" s="40">
        <v>2272</v>
      </c>
      <c r="C28" s="31">
        <f>11697.94+1929.02</f>
        <v>13626.960000000001</v>
      </c>
      <c r="D28" s="31">
        <f t="shared" si="0"/>
        <v>13626.960000000001</v>
      </c>
    </row>
    <row r="29" spans="1:4">
      <c r="A29" s="23" t="s">
        <v>11</v>
      </c>
      <c r="B29" s="40">
        <v>2273</v>
      </c>
      <c r="C29" s="31">
        <f>157368.85+48132.02</f>
        <v>205500.87</v>
      </c>
      <c r="D29" s="31">
        <f t="shared" si="0"/>
        <v>205500.87</v>
      </c>
    </row>
    <row r="30" spans="1:4" hidden="1">
      <c r="A30" s="23" t="s">
        <v>12</v>
      </c>
      <c r="B30" s="40">
        <v>2274</v>
      </c>
      <c r="C30" s="31"/>
      <c r="D30" s="31">
        <f t="shared" si="0"/>
        <v>0</v>
      </c>
    </row>
    <row r="31" spans="1:4">
      <c r="A31" s="23" t="s">
        <v>8</v>
      </c>
      <c r="B31" s="40">
        <v>2275</v>
      </c>
      <c r="C31" s="31">
        <f>3119.86+1418.12+880.43+539.68</f>
        <v>5958.09</v>
      </c>
      <c r="D31" s="31">
        <f t="shared" si="0"/>
        <v>5958.09</v>
      </c>
    </row>
    <row r="32" spans="1:4" s="10" customFormat="1">
      <c r="A32" s="21" t="s">
        <v>13</v>
      </c>
      <c r="B32" s="39">
        <v>2700</v>
      </c>
      <c r="C32" s="31">
        <f>C33</f>
        <v>0</v>
      </c>
      <c r="D32" s="31">
        <f t="shared" si="0"/>
        <v>0</v>
      </c>
    </row>
    <row r="33" spans="1:4">
      <c r="A33" s="23" t="s">
        <v>14</v>
      </c>
      <c r="B33" s="40">
        <v>2730</v>
      </c>
      <c r="C33" s="31"/>
      <c r="D33" s="31">
        <f t="shared" si="0"/>
        <v>0</v>
      </c>
    </row>
    <row r="34" spans="1:4" s="8" customFormat="1">
      <c r="A34" s="22" t="s">
        <v>15</v>
      </c>
      <c r="B34" s="39">
        <v>3000</v>
      </c>
      <c r="C34" s="31">
        <f>C35+C36</f>
        <v>68700</v>
      </c>
      <c r="D34" s="31">
        <f t="shared" si="0"/>
        <v>68700</v>
      </c>
    </row>
    <row r="35" spans="1:4">
      <c r="A35" s="23" t="s">
        <v>17</v>
      </c>
      <c r="B35" s="40">
        <v>3110</v>
      </c>
      <c r="C35" s="31"/>
      <c r="D35" s="31">
        <f t="shared" si="0"/>
        <v>0</v>
      </c>
    </row>
    <row r="36" spans="1:4" ht="15.75" thickBot="1">
      <c r="A36" s="5" t="s">
        <v>18</v>
      </c>
      <c r="B36" s="40">
        <v>3132</v>
      </c>
      <c r="C36" s="31">
        <f>68700</f>
        <v>68700</v>
      </c>
      <c r="D36" s="31">
        <f t="shared" si="0"/>
        <v>68700</v>
      </c>
    </row>
    <row r="37" spans="1:4" ht="15.75">
      <c r="A37" s="4"/>
      <c r="C37" s="18"/>
      <c r="D37" s="18"/>
    </row>
    <row r="38" spans="1:4">
      <c r="C38" s="18"/>
      <c r="D38" s="18"/>
    </row>
    <row r="44" spans="1:4" s="7" customFormat="1"/>
    <row r="45" spans="1:4" s="7" customFormat="1"/>
    <row r="46" spans="1:4" s="7" customFormat="1"/>
    <row r="82" s="7" customFormat="1"/>
    <row r="83" s="7" customFormat="1"/>
    <row r="84" s="7" customFormat="1"/>
    <row r="120" s="7" customFormat="1"/>
    <row r="121" s="7" customFormat="1"/>
    <row r="122" s="7" customFormat="1"/>
    <row r="158" s="7" customFormat="1"/>
    <row r="159" s="7" customFormat="1"/>
    <row r="160" s="7" customFormat="1"/>
    <row r="196" s="7" customFormat="1"/>
    <row r="197" s="7" customFormat="1"/>
    <row r="198" s="7" customFormat="1"/>
    <row r="234" s="7" customFormat="1"/>
    <row r="235" s="7" customFormat="1"/>
    <row r="236" s="7" customFormat="1"/>
    <row r="272" s="7" customFormat="1"/>
    <row r="273" s="7" customFormat="1"/>
    <row r="274" s="7" customFormat="1"/>
    <row r="310" s="7" customFormat="1"/>
    <row r="311" s="7" customFormat="1"/>
    <row r="312" s="7" customFormat="1"/>
    <row r="348" s="7" customFormat="1"/>
    <row r="349" s="7" customFormat="1"/>
    <row r="350" s="7" customFormat="1"/>
    <row r="386" s="7" customFormat="1"/>
    <row r="387" s="7" customFormat="1"/>
    <row r="388" s="7" customFormat="1"/>
    <row r="424" s="7" customFormat="1"/>
    <row r="425" s="7" customFormat="1"/>
    <row r="426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9" fitToHeight="1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26"/>
  <sheetViews>
    <sheetView view="pageBreakPreview" zoomScaleNormal="8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7" customWidth="1"/>
    <col min="2" max="2" width="10.89453125" style="17" customWidth="1"/>
    <col min="3" max="4" width="17.484375" style="17" customWidth="1"/>
    <col min="5" max="16384" width="14.390625" style="17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63.75" customHeight="1">
      <c r="A5" s="16" t="s">
        <v>23</v>
      </c>
      <c r="B5" s="42" t="s">
        <v>61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C16+C34</f>
        <v>1479515.2</v>
      </c>
      <c r="D15" s="26">
        <f>C15</f>
        <v>1479515.2</v>
      </c>
    </row>
    <row r="16" spans="1:4" s="8" customFormat="1" ht="24">
      <c r="A16" s="24" t="s">
        <v>19</v>
      </c>
      <c r="B16" s="22">
        <v>2000</v>
      </c>
      <c r="C16" s="26">
        <f>C17+C32</f>
        <v>1479515.2</v>
      </c>
      <c r="D16" s="26">
        <f t="shared" ref="D16:D36" si="0">C16</f>
        <v>1479515.2</v>
      </c>
    </row>
    <row r="17" spans="1:4" s="10" customFormat="1">
      <c r="A17" s="21" t="s">
        <v>5</v>
      </c>
      <c r="B17" s="22">
        <v>2200</v>
      </c>
      <c r="C17" s="26">
        <f>C18+C19+C20+C21+C22+C23+C25+C26+C24</f>
        <v>1479515.2</v>
      </c>
      <c r="D17" s="26">
        <f t="shared" si="0"/>
        <v>1479515.2</v>
      </c>
    </row>
    <row r="18" spans="1:4" s="11" customFormat="1">
      <c r="A18" s="27" t="s">
        <v>6</v>
      </c>
      <c r="B18" s="35">
        <v>2210</v>
      </c>
      <c r="C18" s="36">
        <f>780+880+1379.4+1580.05</f>
        <v>4619.45</v>
      </c>
      <c r="D18" s="26">
        <f t="shared" si="0"/>
        <v>4619.45</v>
      </c>
    </row>
    <row r="19" spans="1:4" s="7" customFormat="1">
      <c r="A19" s="27" t="s">
        <v>35</v>
      </c>
      <c r="B19" s="35">
        <v>2210</v>
      </c>
      <c r="C19" s="37">
        <f>30692.43</f>
        <v>30692.43</v>
      </c>
      <c r="D19" s="26">
        <f t="shared" si="0"/>
        <v>30692.43</v>
      </c>
    </row>
    <row r="20" spans="1:4" s="12" customFormat="1">
      <c r="A20" s="21" t="s">
        <v>37</v>
      </c>
      <c r="B20" s="22">
        <v>2210</v>
      </c>
      <c r="C20" s="30">
        <f>74100</f>
        <v>74100</v>
      </c>
      <c r="D20" s="26">
        <f t="shared" si="0"/>
        <v>74100</v>
      </c>
    </row>
    <row r="21" spans="1:4" s="11" customFormat="1">
      <c r="A21" s="21" t="s">
        <v>7</v>
      </c>
      <c r="B21" s="22">
        <v>2240</v>
      </c>
      <c r="C21" s="26">
        <f>1300+345.07+1190.94+7368.08+3351.15</f>
        <v>13555.24</v>
      </c>
      <c r="D21" s="26">
        <f t="shared" si="0"/>
        <v>13555.24</v>
      </c>
    </row>
    <row r="22" spans="1:4">
      <c r="A22" s="21" t="s">
        <v>36</v>
      </c>
      <c r="B22" s="22">
        <v>2240</v>
      </c>
      <c r="C22" s="32"/>
      <c r="D22" s="26">
        <f t="shared" si="0"/>
        <v>0</v>
      </c>
    </row>
    <row r="23" spans="1:4">
      <c r="A23" s="21" t="s">
        <v>20</v>
      </c>
      <c r="B23" s="22">
        <v>2240</v>
      </c>
      <c r="C23" s="32"/>
      <c r="D23" s="26">
        <f t="shared" si="0"/>
        <v>0</v>
      </c>
    </row>
    <row r="24" spans="1:4" s="34" customFormat="1" ht="21.75">
      <c r="A24" s="21" t="s">
        <v>63</v>
      </c>
      <c r="B24" s="22">
        <v>2240</v>
      </c>
      <c r="C24" s="26">
        <f>46151.59</f>
        <v>46151.59</v>
      </c>
      <c r="D24" s="26">
        <f t="shared" si="0"/>
        <v>46151.59</v>
      </c>
    </row>
    <row r="25" spans="1:4">
      <c r="A25" s="21" t="s">
        <v>37</v>
      </c>
      <c r="B25" s="22">
        <v>2240</v>
      </c>
      <c r="C25" s="32">
        <f>7634.68+552.5</f>
        <v>8187.18</v>
      </c>
      <c r="D25" s="26">
        <f t="shared" si="0"/>
        <v>8187.18</v>
      </c>
    </row>
    <row r="26" spans="1:4" s="11" customFormat="1">
      <c r="A26" s="21" t="s">
        <v>16</v>
      </c>
      <c r="B26" s="22">
        <v>2270</v>
      </c>
      <c r="C26" s="26">
        <f>SUM(C27:C31)</f>
        <v>1302209.3099999998</v>
      </c>
      <c r="D26" s="26">
        <f t="shared" si="0"/>
        <v>1302209.3099999998</v>
      </c>
    </row>
    <row r="27" spans="1:4">
      <c r="A27" s="23" t="s">
        <v>9</v>
      </c>
      <c r="B27" s="24">
        <v>2271</v>
      </c>
      <c r="C27" s="25">
        <f>834538.91+155335.45</f>
        <v>989874.3600000001</v>
      </c>
      <c r="D27" s="25">
        <f t="shared" si="0"/>
        <v>989874.3600000001</v>
      </c>
    </row>
    <row r="28" spans="1:4">
      <c r="A28" s="23" t="s">
        <v>10</v>
      </c>
      <c r="B28" s="24">
        <v>2272</v>
      </c>
      <c r="C28" s="25">
        <f>52418.78+9276.34</f>
        <v>61695.119999999995</v>
      </c>
      <c r="D28" s="25">
        <f t="shared" si="0"/>
        <v>61695.119999999995</v>
      </c>
    </row>
    <row r="29" spans="1:4">
      <c r="A29" s="23" t="s">
        <v>11</v>
      </c>
      <c r="B29" s="24">
        <v>2273</v>
      </c>
      <c r="C29" s="25">
        <f>196281.91+45193.28</f>
        <v>241475.19</v>
      </c>
      <c r="D29" s="25">
        <f t="shared" si="0"/>
        <v>241475.19</v>
      </c>
    </row>
    <row r="30" spans="1:4" hidden="1">
      <c r="A30" s="23" t="s">
        <v>12</v>
      </c>
      <c r="B30" s="24">
        <v>2274</v>
      </c>
      <c r="C30" s="25"/>
      <c r="D30" s="25">
        <f t="shared" si="0"/>
        <v>0</v>
      </c>
    </row>
    <row r="31" spans="1:4">
      <c r="A31" s="23" t="s">
        <v>8</v>
      </c>
      <c r="B31" s="24">
        <v>2275</v>
      </c>
      <c r="C31" s="31">
        <f>6239.73+2924.91</f>
        <v>9164.64</v>
      </c>
      <c r="D31" s="31">
        <f t="shared" si="0"/>
        <v>9164.64</v>
      </c>
    </row>
    <row r="32" spans="1:4" s="10" customFormat="1">
      <c r="A32" s="21" t="s">
        <v>13</v>
      </c>
      <c r="B32" s="22">
        <v>2700</v>
      </c>
      <c r="C32" s="25">
        <f>C33</f>
        <v>0</v>
      </c>
      <c r="D32" s="25">
        <f t="shared" si="0"/>
        <v>0</v>
      </c>
    </row>
    <row r="33" spans="1:4">
      <c r="A33" s="23" t="s">
        <v>14</v>
      </c>
      <c r="B33" s="24">
        <v>2730</v>
      </c>
      <c r="C33" s="25"/>
      <c r="D33" s="25">
        <f t="shared" si="0"/>
        <v>0</v>
      </c>
    </row>
    <row r="34" spans="1:4" s="8" customFormat="1">
      <c r="A34" s="22" t="s">
        <v>15</v>
      </c>
      <c r="B34" s="22">
        <v>3000</v>
      </c>
      <c r="C34" s="26">
        <f>C35+C36</f>
        <v>0</v>
      </c>
      <c r="D34" s="26">
        <f t="shared" si="0"/>
        <v>0</v>
      </c>
    </row>
    <row r="35" spans="1:4">
      <c r="A35" s="23" t="s">
        <v>17</v>
      </c>
      <c r="B35" s="24">
        <v>3110</v>
      </c>
      <c r="C35" s="25"/>
      <c r="D35" s="25">
        <f t="shared" si="0"/>
        <v>0</v>
      </c>
    </row>
    <row r="36" spans="1:4" ht="15.75" thickBot="1">
      <c r="A36" s="5" t="s">
        <v>18</v>
      </c>
      <c r="B36" s="24">
        <v>3132</v>
      </c>
      <c r="C36" s="13"/>
      <c r="D36" s="13">
        <f t="shared" si="0"/>
        <v>0</v>
      </c>
    </row>
    <row r="37" spans="1:4" ht="15.75">
      <c r="A37" s="4"/>
      <c r="C37" s="18"/>
      <c r="D37" s="18"/>
    </row>
    <row r="38" spans="1:4" ht="15" customHeight="1">
      <c r="C38" s="18"/>
      <c r="D38" s="18"/>
    </row>
    <row r="44" spans="1:4" s="7" customFormat="1"/>
    <row r="45" spans="1:4" s="7" customFormat="1"/>
    <row r="46" spans="1:4" s="7" customFormat="1"/>
    <row r="82" s="7" customFormat="1"/>
    <row r="83" s="7" customFormat="1"/>
    <row r="84" s="7" customFormat="1"/>
    <row r="120" s="7" customFormat="1"/>
    <row r="121" s="7" customFormat="1"/>
    <row r="122" s="7" customFormat="1"/>
    <row r="158" s="7" customFormat="1"/>
    <row r="159" s="7" customFormat="1"/>
    <row r="160" s="7" customFormat="1"/>
    <row r="196" s="7" customFormat="1"/>
    <row r="197" s="7" customFormat="1"/>
    <row r="198" s="7" customFormat="1"/>
    <row r="234" s="7" customFormat="1"/>
    <row r="235" s="7" customFormat="1"/>
    <row r="236" s="7" customFormat="1"/>
    <row r="272" s="7" customFormat="1"/>
    <row r="273" s="7" customFormat="1"/>
    <row r="274" s="7" customFormat="1"/>
    <row r="310" s="7" customFormat="1"/>
    <row r="311" s="7" customFormat="1"/>
    <row r="312" s="7" customFormat="1"/>
    <row r="348" s="7" customFormat="1"/>
    <row r="349" s="7" customFormat="1"/>
    <row r="350" s="7" customFormat="1"/>
    <row r="386" s="7" customFormat="1"/>
    <row r="387" s="7" customFormat="1"/>
    <row r="388" s="7" customFormat="1"/>
    <row r="424" s="7" customFormat="1"/>
    <row r="425" s="7" customFormat="1"/>
    <row r="426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26"/>
  <sheetViews>
    <sheetView view="pageBreakPreview" zoomScaleNormal="8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7" customWidth="1"/>
    <col min="2" max="2" width="10.89453125" style="17" customWidth="1"/>
    <col min="3" max="4" width="17.484375" style="17" customWidth="1"/>
    <col min="5" max="16384" width="14.390625" style="17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63.75" customHeight="1">
      <c r="A5" s="16" t="s">
        <v>23</v>
      </c>
      <c r="B5" s="42" t="s">
        <v>57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C16+C34</f>
        <v>1520410.2599999998</v>
      </c>
      <c r="D15" s="26">
        <f>C15</f>
        <v>1520410.2599999998</v>
      </c>
    </row>
    <row r="16" spans="1:4" s="8" customFormat="1" ht="24">
      <c r="A16" s="24" t="s">
        <v>19</v>
      </c>
      <c r="B16" s="22">
        <v>2000</v>
      </c>
      <c r="C16" s="26">
        <f>C17+C32</f>
        <v>1520410.2599999998</v>
      </c>
      <c r="D16" s="26">
        <f t="shared" ref="D16:D36" si="0">C16</f>
        <v>1520410.2599999998</v>
      </c>
    </row>
    <row r="17" spans="1:4" s="10" customFormat="1">
      <c r="A17" s="21" t="s">
        <v>5</v>
      </c>
      <c r="B17" s="22">
        <v>2200</v>
      </c>
      <c r="C17" s="26">
        <f>C18+C19+C20+C21+C22+C23+C25+C26+C24</f>
        <v>1498450.2599999998</v>
      </c>
      <c r="D17" s="26">
        <f t="shared" si="0"/>
        <v>1498450.2599999998</v>
      </c>
    </row>
    <row r="18" spans="1:4" s="11" customFormat="1">
      <c r="A18" s="27" t="s">
        <v>6</v>
      </c>
      <c r="B18" s="35">
        <v>2210</v>
      </c>
      <c r="C18" s="36">
        <f>3900+3600+1609.3+1580.05</f>
        <v>10689.349999999999</v>
      </c>
      <c r="D18" s="26">
        <f t="shared" si="0"/>
        <v>10689.349999999999</v>
      </c>
    </row>
    <row r="19" spans="1:4" s="7" customFormat="1">
      <c r="A19" s="27" t="s">
        <v>35</v>
      </c>
      <c r="B19" s="28">
        <v>2210</v>
      </c>
      <c r="C19" s="30"/>
      <c r="D19" s="26">
        <f t="shared" si="0"/>
        <v>0</v>
      </c>
    </row>
    <row r="20" spans="1:4" s="12" customFormat="1">
      <c r="A20" s="21" t="s">
        <v>37</v>
      </c>
      <c r="B20" s="22">
        <v>2210</v>
      </c>
      <c r="C20" s="30"/>
      <c r="D20" s="26">
        <f t="shared" si="0"/>
        <v>0</v>
      </c>
    </row>
    <row r="21" spans="1:4" s="11" customFormat="1">
      <c r="A21" s="21" t="s">
        <v>7</v>
      </c>
      <c r="B21" s="22">
        <v>2240</v>
      </c>
      <c r="C21" s="26">
        <f>2050+2225+2025+17840.79+1064.94+19281.16+5946.93+3351.15</f>
        <v>53784.97</v>
      </c>
      <c r="D21" s="26">
        <f t="shared" si="0"/>
        <v>53784.97</v>
      </c>
    </row>
    <row r="22" spans="1:4">
      <c r="A22" s="21" t="s">
        <v>36</v>
      </c>
      <c r="B22" s="22">
        <v>2240</v>
      </c>
      <c r="C22" s="32"/>
      <c r="D22" s="26">
        <f t="shared" si="0"/>
        <v>0</v>
      </c>
    </row>
    <row r="23" spans="1:4">
      <c r="A23" s="21" t="s">
        <v>20</v>
      </c>
      <c r="B23" s="22">
        <v>2240</v>
      </c>
      <c r="C23" s="32"/>
      <c r="D23" s="26">
        <f t="shared" si="0"/>
        <v>0</v>
      </c>
    </row>
    <row r="24" spans="1:4" s="34" customFormat="1" ht="21.75">
      <c r="A24" s="21" t="s">
        <v>63</v>
      </c>
      <c r="B24" s="22">
        <v>2240</v>
      </c>
      <c r="C24" s="26">
        <f>14710.53</f>
        <v>14710.53</v>
      </c>
      <c r="D24" s="26">
        <f t="shared" si="0"/>
        <v>14710.53</v>
      </c>
    </row>
    <row r="25" spans="1:4">
      <c r="A25" s="21" t="s">
        <v>37</v>
      </c>
      <c r="B25" s="22">
        <v>2240</v>
      </c>
      <c r="C25" s="32">
        <f>6064.26+910</f>
        <v>6974.26</v>
      </c>
      <c r="D25" s="26">
        <f t="shared" si="0"/>
        <v>6974.26</v>
      </c>
    </row>
    <row r="26" spans="1:4" s="11" customFormat="1">
      <c r="A26" s="21" t="s">
        <v>16</v>
      </c>
      <c r="B26" s="22">
        <v>2270</v>
      </c>
      <c r="C26" s="26">
        <f>SUM(C27:C31)</f>
        <v>1412291.1499999997</v>
      </c>
      <c r="D26" s="26">
        <f t="shared" si="0"/>
        <v>1412291.1499999997</v>
      </c>
    </row>
    <row r="27" spans="1:4">
      <c r="A27" s="23" t="s">
        <v>9</v>
      </c>
      <c r="B27" s="24">
        <v>2271</v>
      </c>
      <c r="C27" s="25">
        <f>29587.15+9398.8</f>
        <v>38985.949999999997</v>
      </c>
      <c r="D27" s="25">
        <f t="shared" si="0"/>
        <v>38985.949999999997</v>
      </c>
    </row>
    <row r="28" spans="1:4">
      <c r="A28" s="23" t="s">
        <v>10</v>
      </c>
      <c r="B28" s="24">
        <v>2272</v>
      </c>
      <c r="C28" s="25">
        <f>17450.88+4255.2</f>
        <v>21706.080000000002</v>
      </c>
      <c r="D28" s="25">
        <f t="shared" si="0"/>
        <v>21706.080000000002</v>
      </c>
    </row>
    <row r="29" spans="1:4">
      <c r="A29" s="23" t="s">
        <v>11</v>
      </c>
      <c r="B29" s="24">
        <v>2273</v>
      </c>
      <c r="C29" s="25">
        <f>239396.57+55016.73</f>
        <v>294413.3</v>
      </c>
      <c r="D29" s="25">
        <f t="shared" si="0"/>
        <v>294413.3</v>
      </c>
    </row>
    <row r="30" spans="1:4">
      <c r="A30" s="23" t="s">
        <v>12</v>
      </c>
      <c r="B30" s="24">
        <v>2274</v>
      </c>
      <c r="C30" s="25">
        <f>718933.61+321791.32+9000</f>
        <v>1049724.93</v>
      </c>
      <c r="D30" s="25">
        <f t="shared" si="0"/>
        <v>1049724.93</v>
      </c>
    </row>
    <row r="31" spans="1:4">
      <c r="A31" s="23" t="s">
        <v>8</v>
      </c>
      <c r="B31" s="24">
        <v>2275</v>
      </c>
      <c r="C31" s="31">
        <f>3119.86+3119.86+539.68+681.49</f>
        <v>7460.89</v>
      </c>
      <c r="D31" s="31">
        <f t="shared" si="0"/>
        <v>7460.89</v>
      </c>
    </row>
    <row r="32" spans="1:4" s="10" customFormat="1">
      <c r="A32" s="21" t="s">
        <v>13</v>
      </c>
      <c r="B32" s="22">
        <v>2700</v>
      </c>
      <c r="C32" s="26">
        <f>C33</f>
        <v>21960</v>
      </c>
      <c r="D32" s="26">
        <f t="shared" si="0"/>
        <v>21960</v>
      </c>
    </row>
    <row r="33" spans="1:4">
      <c r="A33" s="23" t="s">
        <v>14</v>
      </c>
      <c r="B33" s="24">
        <v>2730</v>
      </c>
      <c r="C33" s="25">
        <f>21960</f>
        <v>21960</v>
      </c>
      <c r="D33" s="25">
        <f t="shared" si="0"/>
        <v>21960</v>
      </c>
    </row>
    <row r="34" spans="1:4" s="8" customFormat="1">
      <c r="A34" s="22" t="s">
        <v>15</v>
      </c>
      <c r="B34" s="22">
        <v>3000</v>
      </c>
      <c r="C34" s="26">
        <f>C35+C36</f>
        <v>0</v>
      </c>
      <c r="D34" s="26">
        <f t="shared" si="0"/>
        <v>0</v>
      </c>
    </row>
    <row r="35" spans="1:4">
      <c r="A35" s="23" t="s">
        <v>17</v>
      </c>
      <c r="B35" s="24">
        <v>3110</v>
      </c>
      <c r="C35" s="25"/>
      <c r="D35" s="25">
        <f t="shared" si="0"/>
        <v>0</v>
      </c>
    </row>
    <row r="36" spans="1:4">
      <c r="A36" s="23" t="s">
        <v>18</v>
      </c>
      <c r="B36" s="24">
        <v>3132</v>
      </c>
      <c r="C36" s="25"/>
      <c r="D36" s="25">
        <f t="shared" si="0"/>
        <v>0</v>
      </c>
    </row>
    <row r="37" spans="1:4" ht="15.75">
      <c r="A37" s="4"/>
      <c r="C37" s="18"/>
      <c r="D37" s="18"/>
    </row>
    <row r="38" spans="1:4" ht="15" customHeight="1">
      <c r="C38" s="18"/>
      <c r="D38" s="18"/>
    </row>
    <row r="44" spans="1:4" s="7" customFormat="1"/>
    <row r="45" spans="1:4" s="7" customFormat="1"/>
    <row r="46" spans="1:4" s="7" customFormat="1"/>
    <row r="82" s="7" customFormat="1"/>
    <row r="83" s="7" customFormat="1"/>
    <row r="84" s="7" customFormat="1"/>
    <row r="120" s="7" customFormat="1"/>
    <row r="121" s="7" customFormat="1"/>
    <row r="122" s="7" customFormat="1"/>
    <row r="158" s="7" customFormat="1"/>
    <row r="159" s="7" customFormat="1"/>
    <row r="160" s="7" customFormat="1"/>
    <row r="196" s="7" customFormat="1"/>
    <row r="197" s="7" customFormat="1"/>
    <row r="198" s="7" customFormat="1"/>
    <row r="234" s="7" customFormat="1"/>
    <row r="235" s="7" customFormat="1"/>
    <row r="236" s="7" customFormat="1"/>
    <row r="272" s="7" customFormat="1"/>
    <row r="273" s="7" customFormat="1"/>
    <row r="274" s="7" customFormat="1"/>
    <row r="310" s="7" customFormat="1"/>
    <row r="311" s="7" customFormat="1"/>
    <row r="312" s="7" customFormat="1"/>
    <row r="348" s="7" customFormat="1"/>
    <row r="349" s="7" customFormat="1"/>
    <row r="350" s="7" customFormat="1"/>
    <row r="386" s="7" customFormat="1"/>
    <row r="387" s="7" customFormat="1"/>
    <row r="388" s="7" customFormat="1"/>
    <row r="424" s="7" customFormat="1"/>
    <row r="425" s="7" customFormat="1"/>
    <row r="426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427"/>
  <sheetViews>
    <sheetView view="pageBreakPreview" zoomScaleNormal="8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7" customWidth="1"/>
    <col min="2" max="2" width="10.89453125" style="17" customWidth="1"/>
    <col min="3" max="4" width="17.484375" style="17" customWidth="1"/>
    <col min="5" max="16384" width="14.390625" style="17"/>
  </cols>
  <sheetData>
    <row r="1" spans="1:4">
      <c r="A1" s="45" t="s">
        <v>0</v>
      </c>
      <c r="B1" s="45"/>
      <c r="C1" s="45"/>
      <c r="D1" s="45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63.75" customHeight="1">
      <c r="A5" s="16" t="s">
        <v>23</v>
      </c>
      <c r="B5" s="42" t="s">
        <v>58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C16+C35</f>
        <v>1585659.4399999997</v>
      </c>
      <c r="D15" s="26">
        <f>C15</f>
        <v>1585659.4399999997</v>
      </c>
    </row>
    <row r="16" spans="1:4" s="8" customFormat="1" ht="24">
      <c r="A16" s="24" t="s">
        <v>19</v>
      </c>
      <c r="B16" s="22">
        <v>2000</v>
      </c>
      <c r="C16" s="26">
        <f>C17</f>
        <v>1585659.4399999997</v>
      </c>
      <c r="D16" s="26">
        <f t="shared" ref="D16:D37" si="0">C16</f>
        <v>1585659.4399999997</v>
      </c>
    </row>
    <row r="17" spans="1:4" s="10" customFormat="1">
      <c r="A17" s="21" t="s">
        <v>5</v>
      </c>
      <c r="B17" s="22">
        <v>2200</v>
      </c>
      <c r="C17" s="26">
        <f>C18+C20+C21+C22+C23+C24+C26+C27+C25+C19</f>
        <v>1585659.4399999997</v>
      </c>
      <c r="D17" s="26">
        <f t="shared" si="0"/>
        <v>1585659.4399999997</v>
      </c>
    </row>
    <row r="18" spans="1:4" s="11" customFormat="1">
      <c r="A18" s="27" t="s">
        <v>6</v>
      </c>
      <c r="B18" s="35">
        <v>2210</v>
      </c>
      <c r="C18" s="36">
        <f>2340+2860+2+1379.4+1580.05</f>
        <v>8161.45</v>
      </c>
      <c r="D18" s="26">
        <f t="shared" si="0"/>
        <v>8161.45</v>
      </c>
    </row>
    <row r="19" spans="1:4" s="11" customFormat="1">
      <c r="A19" s="27" t="s">
        <v>64</v>
      </c>
      <c r="B19" s="35">
        <v>2210</v>
      </c>
      <c r="C19" s="36">
        <f>4191.98+8151+443.32+454.69+2772.5+1661.57+8756.66+3150+1113.44+791.81+2772.5+3220</f>
        <v>37479.47</v>
      </c>
      <c r="D19" s="36">
        <f t="shared" si="0"/>
        <v>37479.47</v>
      </c>
    </row>
    <row r="20" spans="1:4" s="7" customFormat="1">
      <c r="A20" s="27" t="s">
        <v>35</v>
      </c>
      <c r="B20" s="28">
        <v>2210</v>
      </c>
      <c r="C20" s="30">
        <f>47988.24+48994.43+19950+41999.98</f>
        <v>158932.65</v>
      </c>
      <c r="D20" s="26">
        <f t="shared" si="0"/>
        <v>158932.65</v>
      </c>
    </row>
    <row r="21" spans="1:4" s="12" customFormat="1">
      <c r="A21" s="21" t="s">
        <v>37</v>
      </c>
      <c r="B21" s="22">
        <v>2210</v>
      </c>
      <c r="C21" s="30"/>
      <c r="D21" s="26">
        <f t="shared" si="0"/>
        <v>0</v>
      </c>
    </row>
    <row r="22" spans="1:4" s="11" customFormat="1">
      <c r="A22" s="21" t="s">
        <v>7</v>
      </c>
      <c r="B22" s="22">
        <v>2240</v>
      </c>
      <c r="C22" s="26">
        <f>1300+500+1203.96+10159.33+3351.15</f>
        <v>16514.440000000002</v>
      </c>
      <c r="D22" s="26">
        <f t="shared" si="0"/>
        <v>16514.440000000002</v>
      </c>
    </row>
    <row r="23" spans="1:4">
      <c r="A23" s="21" t="s">
        <v>36</v>
      </c>
      <c r="B23" s="22">
        <v>2240</v>
      </c>
      <c r="C23" s="32">
        <f>20000+25000+25000</f>
        <v>70000</v>
      </c>
      <c r="D23" s="26">
        <f t="shared" si="0"/>
        <v>70000</v>
      </c>
    </row>
    <row r="24" spans="1:4">
      <c r="A24" s="21" t="s">
        <v>20</v>
      </c>
      <c r="B24" s="22">
        <v>2240</v>
      </c>
      <c r="C24" s="32">
        <f>114801.6</f>
        <v>114801.60000000001</v>
      </c>
      <c r="D24" s="26">
        <f t="shared" si="0"/>
        <v>114801.60000000001</v>
      </c>
    </row>
    <row r="25" spans="1:4" s="34" customFormat="1" ht="21.75">
      <c r="A25" s="21" t="s">
        <v>63</v>
      </c>
      <c r="B25" s="22">
        <v>2240</v>
      </c>
      <c r="C25" s="26">
        <f>69143.92</f>
        <v>69143.92</v>
      </c>
      <c r="D25" s="26">
        <f t="shared" si="0"/>
        <v>69143.92</v>
      </c>
    </row>
    <row r="26" spans="1:4">
      <c r="A26" s="21" t="s">
        <v>37</v>
      </c>
      <c r="B26" s="22">
        <v>2240</v>
      </c>
      <c r="C26" s="32">
        <f>3090.93+9999+617.5+3333</f>
        <v>17040.43</v>
      </c>
      <c r="D26" s="26">
        <f t="shared" si="0"/>
        <v>17040.43</v>
      </c>
    </row>
    <row r="27" spans="1:4" s="11" customFormat="1">
      <c r="A27" s="21" t="s">
        <v>16</v>
      </c>
      <c r="B27" s="22">
        <v>2270</v>
      </c>
      <c r="C27" s="26">
        <f>SUM(C28:C32)</f>
        <v>1093585.4799999997</v>
      </c>
      <c r="D27" s="26">
        <f t="shared" si="0"/>
        <v>1093585.4799999997</v>
      </c>
    </row>
    <row r="28" spans="1:4">
      <c r="A28" s="23" t="s">
        <v>9</v>
      </c>
      <c r="B28" s="24">
        <v>2271</v>
      </c>
      <c r="C28" s="25">
        <f>699929.48+230802.93</f>
        <v>930732.40999999992</v>
      </c>
      <c r="D28" s="25">
        <f t="shared" si="0"/>
        <v>930732.40999999992</v>
      </c>
    </row>
    <row r="29" spans="1:4">
      <c r="A29" s="23" t="s">
        <v>10</v>
      </c>
      <c r="B29" s="24">
        <v>2272</v>
      </c>
      <c r="C29" s="25">
        <f>20184.65+2723.33</f>
        <v>22907.980000000003</v>
      </c>
      <c r="D29" s="25">
        <f t="shared" si="0"/>
        <v>22907.980000000003</v>
      </c>
    </row>
    <row r="30" spans="1:4">
      <c r="A30" s="23" t="s">
        <v>11</v>
      </c>
      <c r="B30" s="24">
        <v>2273</v>
      </c>
      <c r="C30" s="25">
        <f>117475.04+16937.39</f>
        <v>134412.43</v>
      </c>
      <c r="D30" s="25">
        <f t="shared" si="0"/>
        <v>134412.43</v>
      </c>
    </row>
    <row r="31" spans="1:4" hidden="1">
      <c r="A31" s="23" t="s">
        <v>12</v>
      </c>
      <c r="B31" s="24">
        <v>2274</v>
      </c>
      <c r="C31" s="25"/>
      <c r="D31" s="25">
        <f t="shared" si="0"/>
        <v>0</v>
      </c>
    </row>
    <row r="32" spans="1:4">
      <c r="A32" s="23" t="s">
        <v>8</v>
      </c>
      <c r="B32" s="24">
        <v>2275</v>
      </c>
      <c r="C32" s="31">
        <f>3970.74+1561.92</f>
        <v>5532.66</v>
      </c>
      <c r="D32" s="31">
        <f t="shared" si="0"/>
        <v>5532.66</v>
      </c>
    </row>
    <row r="33" spans="1:4" s="10" customFormat="1">
      <c r="A33" s="21" t="s">
        <v>13</v>
      </c>
      <c r="B33" s="22">
        <v>2700</v>
      </c>
      <c r="C33" s="25">
        <f>C34</f>
        <v>0</v>
      </c>
      <c r="D33" s="25">
        <f t="shared" si="0"/>
        <v>0</v>
      </c>
    </row>
    <row r="34" spans="1:4">
      <c r="A34" s="23" t="s">
        <v>14</v>
      </c>
      <c r="B34" s="24">
        <v>2730</v>
      </c>
      <c r="C34" s="25"/>
      <c r="D34" s="25">
        <f t="shared" si="0"/>
        <v>0</v>
      </c>
    </row>
    <row r="35" spans="1:4" s="8" customFormat="1">
      <c r="A35" s="22" t="s">
        <v>15</v>
      </c>
      <c r="B35" s="22">
        <v>3000</v>
      </c>
      <c r="C35" s="26">
        <f>C36+C37</f>
        <v>0</v>
      </c>
      <c r="D35" s="26">
        <f t="shared" si="0"/>
        <v>0</v>
      </c>
    </row>
    <row r="36" spans="1:4">
      <c r="A36" s="23" t="s">
        <v>17</v>
      </c>
      <c r="B36" s="24">
        <v>3110</v>
      </c>
      <c r="C36" s="25"/>
      <c r="D36" s="25">
        <f t="shared" si="0"/>
        <v>0</v>
      </c>
    </row>
    <row r="37" spans="1:4">
      <c r="A37" s="23" t="s">
        <v>18</v>
      </c>
      <c r="B37" s="24">
        <v>3132</v>
      </c>
      <c r="C37" s="25"/>
      <c r="D37" s="25">
        <f t="shared" si="0"/>
        <v>0</v>
      </c>
    </row>
    <row r="38" spans="1:4" ht="15.75">
      <c r="A38" s="4"/>
      <c r="C38" s="18"/>
      <c r="D38" s="18"/>
    </row>
    <row r="39" spans="1:4" ht="15" customHeight="1">
      <c r="C39" s="18"/>
      <c r="D39" s="18"/>
    </row>
    <row r="45" spans="1:4" s="7" customFormat="1"/>
    <row r="46" spans="1:4" s="7" customFormat="1"/>
    <row r="47" spans="1:4" s="7" customFormat="1"/>
    <row r="83" s="7" customFormat="1"/>
    <row r="84" s="7" customFormat="1"/>
    <row r="85" s="7" customFormat="1"/>
    <row r="121" s="7" customFormat="1"/>
    <row r="122" s="7" customFormat="1"/>
    <row r="123" s="7" customFormat="1"/>
    <row r="159" s="7" customFormat="1"/>
    <row r="160" s="7" customFormat="1"/>
    <row r="161" s="7" customFormat="1"/>
    <row r="197" s="7" customFormat="1"/>
    <row r="198" s="7" customFormat="1"/>
    <row r="199" s="7" customFormat="1"/>
    <row r="235" s="7" customFormat="1"/>
    <row r="236" s="7" customFormat="1"/>
    <row r="237" s="7" customFormat="1"/>
    <row r="273" s="7" customFormat="1"/>
    <row r="274" s="7" customFormat="1"/>
    <row r="275" s="7" customFormat="1"/>
    <row r="311" s="7" customFormat="1"/>
    <row r="312" s="7" customFormat="1"/>
    <row r="313" s="7" customFormat="1"/>
    <row r="349" s="7" customFormat="1"/>
    <row r="350" s="7" customFormat="1"/>
    <row r="351" s="7" customFormat="1"/>
    <row r="387" s="7" customFormat="1"/>
    <row r="388" s="7" customFormat="1"/>
    <row r="389" s="7" customFormat="1"/>
    <row r="425" s="7" customFormat="1"/>
    <row r="426" s="7" customFormat="1"/>
    <row r="427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426"/>
  <sheetViews>
    <sheetView view="pageBreakPreview" zoomScaleNormal="8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7" customWidth="1"/>
    <col min="2" max="2" width="10.89453125" style="17" customWidth="1"/>
    <col min="3" max="4" width="17.484375" style="17" customWidth="1"/>
    <col min="5" max="16384" width="14.390625" style="17"/>
  </cols>
  <sheetData>
    <row r="1" spans="1:7">
      <c r="A1" s="45" t="s">
        <v>0</v>
      </c>
      <c r="B1" s="44"/>
      <c r="C1" s="44"/>
      <c r="D1" s="44"/>
    </row>
    <row r="2" spans="1:7">
      <c r="A2" s="45" t="s">
        <v>32</v>
      </c>
      <c r="B2" s="44"/>
      <c r="C2" s="44"/>
      <c r="D2" s="44"/>
    </row>
    <row r="3" spans="1:7">
      <c r="A3" s="45" t="s">
        <v>62</v>
      </c>
      <c r="B3" s="44"/>
      <c r="C3" s="44"/>
      <c r="D3" s="44"/>
    </row>
    <row r="4" spans="1:7">
      <c r="A4" s="1"/>
      <c r="B4" s="1"/>
      <c r="C4" s="2"/>
    </row>
    <row r="5" spans="1:7" ht="63.75" customHeight="1">
      <c r="A5" s="16" t="s">
        <v>23</v>
      </c>
      <c r="B5" s="42" t="s">
        <v>59</v>
      </c>
      <c r="C5" s="42"/>
      <c r="D5" s="42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4">
      <c r="A8" s="1" t="s">
        <v>28</v>
      </c>
      <c r="B8" s="15" t="s">
        <v>29</v>
      </c>
    </row>
    <row r="9" spans="1:7" ht="34.5">
      <c r="A9" s="1" t="s">
        <v>30</v>
      </c>
      <c r="B9" s="46" t="s">
        <v>31</v>
      </c>
      <c r="C9" s="46"/>
      <c r="D9" s="46"/>
    </row>
    <row r="10" spans="1:7">
      <c r="A10" s="3" t="s">
        <v>21</v>
      </c>
    </row>
    <row r="11" spans="1:7">
      <c r="A11" s="3" t="s">
        <v>1</v>
      </c>
    </row>
    <row r="12" spans="1:7">
      <c r="A12" s="43"/>
      <c r="B12" s="44"/>
      <c r="C12" s="44"/>
      <c r="D12" s="44"/>
    </row>
    <row r="13" spans="1:7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7">
      <c r="A14" s="22">
        <v>1</v>
      </c>
      <c r="B14" s="22">
        <v>2</v>
      </c>
      <c r="C14" s="22">
        <v>3</v>
      </c>
      <c r="D14" s="22">
        <v>4</v>
      </c>
    </row>
    <row r="15" spans="1:7" s="9" customFormat="1">
      <c r="A15" s="22" t="s">
        <v>3</v>
      </c>
      <c r="B15" s="22" t="s">
        <v>4</v>
      </c>
      <c r="C15" s="26">
        <f>C16+C34</f>
        <v>1071050.27</v>
      </c>
      <c r="D15" s="26">
        <f>C15</f>
        <v>1071050.27</v>
      </c>
      <c r="E15" s="20"/>
      <c r="F15" s="20"/>
      <c r="G15" s="20"/>
    </row>
    <row r="16" spans="1:7" s="8" customFormat="1" ht="24">
      <c r="A16" s="24" t="s">
        <v>19</v>
      </c>
      <c r="B16" s="22">
        <v>2000</v>
      </c>
      <c r="C16" s="26">
        <f>C17+C32</f>
        <v>1071050.27</v>
      </c>
      <c r="D16" s="26">
        <f t="shared" ref="D16:D36" si="0">C16</f>
        <v>1071050.27</v>
      </c>
      <c r="E16" s="20"/>
    </row>
    <row r="17" spans="1:5" s="10" customFormat="1">
      <c r="A17" s="21" t="s">
        <v>5</v>
      </c>
      <c r="B17" s="22">
        <v>2200</v>
      </c>
      <c r="C17" s="26">
        <f>C18+C19+C20+C21+C22+C23+C25+C26+C24</f>
        <v>1071050.27</v>
      </c>
      <c r="D17" s="26">
        <f t="shared" si="0"/>
        <v>1071050.27</v>
      </c>
      <c r="E17" s="20"/>
    </row>
    <row r="18" spans="1:5" s="11" customFormat="1">
      <c r="A18" s="27" t="s">
        <v>6</v>
      </c>
      <c r="B18" s="35">
        <v>2210</v>
      </c>
      <c r="C18" s="36">
        <f>780+880+1379.4+1580.05</f>
        <v>4619.45</v>
      </c>
      <c r="D18" s="26">
        <f t="shared" si="0"/>
        <v>4619.45</v>
      </c>
      <c r="E18" s="20"/>
    </row>
    <row r="19" spans="1:5" s="7" customFormat="1">
      <c r="A19" s="27" t="s">
        <v>35</v>
      </c>
      <c r="B19" s="35">
        <v>2210</v>
      </c>
      <c r="C19" s="37"/>
      <c r="D19" s="26">
        <f t="shared" si="0"/>
        <v>0</v>
      </c>
      <c r="E19" s="20"/>
    </row>
    <row r="20" spans="1:5" s="12" customFormat="1">
      <c r="A20" s="21" t="s">
        <v>37</v>
      </c>
      <c r="B20" s="22">
        <v>2210</v>
      </c>
      <c r="C20" s="30"/>
      <c r="D20" s="26">
        <f t="shared" si="0"/>
        <v>0</v>
      </c>
      <c r="E20" s="20"/>
    </row>
    <row r="21" spans="1:5" s="11" customFormat="1">
      <c r="A21" s="21" t="s">
        <v>7</v>
      </c>
      <c r="B21" s="22">
        <v>2240</v>
      </c>
      <c r="C21" s="26">
        <f>1300+600+1113.96+505.44+6427.05+3351.15</f>
        <v>13297.6</v>
      </c>
      <c r="D21" s="26">
        <f t="shared" si="0"/>
        <v>13297.6</v>
      </c>
      <c r="E21" s="20"/>
    </row>
    <row r="22" spans="1:5">
      <c r="A22" s="21" t="s">
        <v>36</v>
      </c>
      <c r="B22" s="22">
        <v>2240</v>
      </c>
      <c r="C22" s="32">
        <f>50000</f>
        <v>50000</v>
      </c>
      <c r="D22" s="26">
        <f t="shared" si="0"/>
        <v>50000</v>
      </c>
      <c r="E22" s="20"/>
    </row>
    <row r="23" spans="1:5">
      <c r="A23" s="21" t="s">
        <v>20</v>
      </c>
      <c r="B23" s="22">
        <v>2240</v>
      </c>
      <c r="C23" s="32"/>
      <c r="D23" s="26">
        <f t="shared" si="0"/>
        <v>0</v>
      </c>
      <c r="E23" s="20"/>
    </row>
    <row r="24" spans="1:5" s="34" customFormat="1" ht="21.75">
      <c r="A24" s="21" t="s">
        <v>63</v>
      </c>
      <c r="B24" s="22">
        <v>2240</v>
      </c>
      <c r="C24" s="26">
        <f>12454.45</f>
        <v>12454.45</v>
      </c>
      <c r="D24" s="26">
        <f t="shared" si="0"/>
        <v>12454.45</v>
      </c>
      <c r="E24" s="20"/>
    </row>
    <row r="25" spans="1:5">
      <c r="A25" s="21" t="s">
        <v>37</v>
      </c>
      <c r="B25" s="22">
        <v>2240</v>
      </c>
      <c r="C25" s="32">
        <f>2281.36+617.5</f>
        <v>2898.86</v>
      </c>
      <c r="D25" s="26">
        <f t="shared" si="0"/>
        <v>2898.86</v>
      </c>
      <c r="E25" s="20"/>
    </row>
    <row r="26" spans="1:5" s="11" customFormat="1">
      <c r="A26" s="21" t="s">
        <v>16</v>
      </c>
      <c r="B26" s="22">
        <v>2270</v>
      </c>
      <c r="C26" s="26">
        <f>SUM(C27:C31)</f>
        <v>987779.91</v>
      </c>
      <c r="D26" s="26">
        <f t="shared" si="0"/>
        <v>987779.91</v>
      </c>
      <c r="E26" s="20"/>
    </row>
    <row r="27" spans="1:5">
      <c r="A27" s="23" t="s">
        <v>9</v>
      </c>
      <c r="B27" s="24">
        <v>2271</v>
      </c>
      <c r="C27" s="25">
        <f>732630.05+125575.22</f>
        <v>858205.27</v>
      </c>
      <c r="D27" s="25">
        <f t="shared" si="0"/>
        <v>858205.27</v>
      </c>
      <c r="E27" s="20"/>
    </row>
    <row r="28" spans="1:5">
      <c r="A28" s="23" t="s">
        <v>10</v>
      </c>
      <c r="B28" s="24">
        <v>2272</v>
      </c>
      <c r="C28" s="25">
        <f>20365.54+4567.25</f>
        <v>24932.79</v>
      </c>
      <c r="D28" s="25">
        <f t="shared" si="0"/>
        <v>24932.79</v>
      </c>
      <c r="E28" s="20"/>
    </row>
    <row r="29" spans="1:5">
      <c r="A29" s="23" t="s">
        <v>11</v>
      </c>
      <c r="B29" s="24">
        <v>2273</v>
      </c>
      <c r="C29" s="25">
        <f>87580.75+12294.62</f>
        <v>99875.37</v>
      </c>
      <c r="D29" s="25">
        <f t="shared" si="0"/>
        <v>99875.37</v>
      </c>
      <c r="E29" s="20"/>
    </row>
    <row r="30" spans="1:5" hidden="1">
      <c r="A30" s="23" t="s">
        <v>12</v>
      </c>
      <c r="B30" s="24">
        <v>2274</v>
      </c>
      <c r="C30" s="25"/>
      <c r="D30" s="25">
        <f t="shared" si="0"/>
        <v>0</v>
      </c>
      <c r="E30" s="20"/>
    </row>
    <row r="31" spans="1:5">
      <c r="A31" s="23" t="s">
        <v>8</v>
      </c>
      <c r="B31" s="24">
        <v>2275</v>
      </c>
      <c r="C31" s="31">
        <f>3403.49+1362.99</f>
        <v>4766.4799999999996</v>
      </c>
      <c r="D31" s="31">
        <f t="shared" si="0"/>
        <v>4766.4799999999996</v>
      </c>
      <c r="E31" s="20"/>
    </row>
    <row r="32" spans="1:5" s="10" customFormat="1">
      <c r="A32" s="21" t="s">
        <v>13</v>
      </c>
      <c r="B32" s="22">
        <v>2700</v>
      </c>
      <c r="C32" s="25">
        <f>C33</f>
        <v>0</v>
      </c>
      <c r="D32" s="25">
        <f t="shared" si="0"/>
        <v>0</v>
      </c>
      <c r="E32" s="20"/>
    </row>
    <row r="33" spans="1:5">
      <c r="A33" s="23" t="s">
        <v>14</v>
      </c>
      <c r="B33" s="24">
        <v>2730</v>
      </c>
      <c r="C33" s="25"/>
      <c r="D33" s="25">
        <f t="shared" si="0"/>
        <v>0</v>
      </c>
      <c r="E33" s="20"/>
    </row>
    <row r="34" spans="1:5" s="8" customFormat="1">
      <c r="A34" s="22" t="s">
        <v>15</v>
      </c>
      <c r="B34" s="22">
        <v>3000</v>
      </c>
      <c r="C34" s="26">
        <f>C35+C36</f>
        <v>0</v>
      </c>
      <c r="D34" s="26">
        <f t="shared" si="0"/>
        <v>0</v>
      </c>
      <c r="E34" s="20"/>
    </row>
    <row r="35" spans="1:5">
      <c r="A35" s="23" t="s">
        <v>17</v>
      </c>
      <c r="B35" s="24">
        <v>3110</v>
      </c>
      <c r="C35" s="25"/>
      <c r="D35" s="25">
        <f t="shared" si="0"/>
        <v>0</v>
      </c>
      <c r="E35" s="20"/>
    </row>
    <row r="36" spans="1:5">
      <c r="A36" s="23" t="s">
        <v>18</v>
      </c>
      <c r="B36" s="24">
        <v>3132</v>
      </c>
      <c r="C36" s="25"/>
      <c r="D36" s="25">
        <f t="shared" si="0"/>
        <v>0</v>
      </c>
      <c r="E36" s="20"/>
    </row>
    <row r="37" spans="1:5" ht="15.75">
      <c r="A37" s="4"/>
      <c r="C37" s="18"/>
      <c r="D37" s="18"/>
    </row>
    <row r="38" spans="1:5" ht="15" customHeight="1">
      <c r="C38" s="18"/>
      <c r="D38" s="18"/>
    </row>
    <row r="39" spans="1:5" ht="15" customHeight="1">
      <c r="C39" s="18"/>
      <c r="D39" s="18"/>
    </row>
    <row r="44" spans="1:5" s="7" customFormat="1"/>
    <row r="45" spans="1:5" s="7" customFormat="1"/>
    <row r="46" spans="1:5" s="7" customFormat="1"/>
    <row r="82" s="7" customFormat="1"/>
    <row r="83" s="7" customFormat="1"/>
    <row r="84" s="7" customFormat="1"/>
    <row r="120" s="7" customFormat="1"/>
    <row r="121" s="7" customFormat="1"/>
    <row r="122" s="7" customFormat="1"/>
    <row r="158" s="7" customFormat="1"/>
    <row r="159" s="7" customFormat="1"/>
    <row r="160" s="7" customFormat="1"/>
    <row r="196" s="7" customFormat="1"/>
    <row r="197" s="7" customFormat="1"/>
    <row r="198" s="7" customFormat="1"/>
    <row r="234" s="7" customFormat="1"/>
    <row r="235" s="7" customFormat="1"/>
    <row r="236" s="7" customFormat="1"/>
    <row r="272" s="7" customFormat="1"/>
    <row r="273" s="7" customFormat="1"/>
    <row r="274" s="7" customFormat="1"/>
    <row r="310" s="7" customFormat="1"/>
    <row r="311" s="7" customFormat="1"/>
    <row r="312" s="7" customFormat="1"/>
    <row r="348" s="7" customFormat="1"/>
    <row r="349" s="7" customFormat="1"/>
    <row r="350" s="7" customFormat="1"/>
    <row r="386" s="7" customFormat="1"/>
    <row r="387" s="7" customFormat="1"/>
    <row r="388" s="7" customFormat="1"/>
    <row r="424" s="7" customFormat="1"/>
    <row r="425" s="7" customFormat="1"/>
    <row r="426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426"/>
  <sheetViews>
    <sheetView view="pageBreakPreview" zoomScaleNormal="8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33" customWidth="1"/>
    <col min="2" max="2" width="10.89453125" style="33" customWidth="1"/>
    <col min="3" max="4" width="17.484375" style="33" customWidth="1"/>
    <col min="5" max="16384" width="14.390625" style="33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63.75" customHeight="1">
      <c r="A5" s="16" t="s">
        <v>23</v>
      </c>
      <c r="B5" s="42" t="s">
        <v>60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C16+C34</f>
        <v>2142300.5300000003</v>
      </c>
      <c r="D15" s="26">
        <f>C15</f>
        <v>2142300.5300000003</v>
      </c>
    </row>
    <row r="16" spans="1:4" s="8" customFormat="1" ht="24">
      <c r="A16" s="24" t="s">
        <v>19</v>
      </c>
      <c r="B16" s="22">
        <v>2000</v>
      </c>
      <c r="C16" s="26">
        <f>C17+C32</f>
        <v>2142300.5300000003</v>
      </c>
      <c r="D16" s="26">
        <f t="shared" ref="D16:D36" si="0">C16</f>
        <v>2142300.5300000003</v>
      </c>
    </row>
    <row r="17" spans="1:4" s="10" customFormat="1">
      <c r="A17" s="21" t="s">
        <v>5</v>
      </c>
      <c r="B17" s="22">
        <v>2200</v>
      </c>
      <c r="C17" s="26">
        <f>C18+C19+C20+C21+C22+C23+C25+C26+C24</f>
        <v>2142300.5300000003</v>
      </c>
      <c r="D17" s="26">
        <f t="shared" si="0"/>
        <v>2142300.5300000003</v>
      </c>
    </row>
    <row r="18" spans="1:4" s="11" customFormat="1">
      <c r="A18" s="27" t="s">
        <v>6</v>
      </c>
      <c r="B18" s="35">
        <v>2210</v>
      </c>
      <c r="C18" s="36">
        <f>3900+4620+1379.4+1579.85</f>
        <v>11479.25</v>
      </c>
      <c r="D18" s="26">
        <f t="shared" si="0"/>
        <v>11479.25</v>
      </c>
    </row>
    <row r="19" spans="1:4" s="7" customFormat="1">
      <c r="A19" s="27" t="s">
        <v>35</v>
      </c>
      <c r="B19" s="35">
        <v>2210</v>
      </c>
      <c r="C19" s="37"/>
      <c r="D19" s="26">
        <f t="shared" si="0"/>
        <v>0</v>
      </c>
    </row>
    <row r="20" spans="1:4" s="12" customFormat="1">
      <c r="A20" s="21" t="s">
        <v>37</v>
      </c>
      <c r="B20" s="22">
        <v>2210</v>
      </c>
      <c r="C20" s="30"/>
      <c r="D20" s="26">
        <f t="shared" si="0"/>
        <v>0</v>
      </c>
    </row>
    <row r="21" spans="1:4" s="11" customFormat="1">
      <c r="A21" s="21" t="s">
        <v>7</v>
      </c>
      <c r="B21" s="22">
        <v>2240</v>
      </c>
      <c r="C21" s="26">
        <f>1750+1400+3413.94+115.2+8910+3351.16</f>
        <v>18940.3</v>
      </c>
      <c r="D21" s="26">
        <f t="shared" si="0"/>
        <v>18940.3</v>
      </c>
    </row>
    <row r="22" spans="1:4">
      <c r="A22" s="21" t="s">
        <v>36</v>
      </c>
      <c r="B22" s="22">
        <v>2240</v>
      </c>
      <c r="C22" s="32"/>
      <c r="D22" s="26">
        <f t="shared" si="0"/>
        <v>0</v>
      </c>
    </row>
    <row r="23" spans="1:4">
      <c r="A23" s="21" t="s">
        <v>20</v>
      </c>
      <c r="B23" s="22">
        <v>2240</v>
      </c>
      <c r="C23" s="32"/>
      <c r="D23" s="26">
        <f t="shared" si="0"/>
        <v>0</v>
      </c>
    </row>
    <row r="24" spans="1:4" s="34" customFormat="1" ht="21.75">
      <c r="A24" s="21" t="s">
        <v>63</v>
      </c>
      <c r="B24" s="22">
        <v>2240</v>
      </c>
      <c r="C24" s="26">
        <f>2884.1+13880.56+39502.8</f>
        <v>56267.460000000006</v>
      </c>
      <c r="D24" s="26">
        <f t="shared" si="0"/>
        <v>56267.460000000006</v>
      </c>
    </row>
    <row r="25" spans="1:4">
      <c r="A25" s="21" t="s">
        <v>37</v>
      </c>
      <c r="B25" s="22">
        <v>2240</v>
      </c>
      <c r="C25" s="32">
        <f>4611.21+2537.3+1007.5</f>
        <v>8156.01</v>
      </c>
      <c r="D25" s="26">
        <f t="shared" si="0"/>
        <v>8156.01</v>
      </c>
    </row>
    <row r="26" spans="1:4" s="11" customFormat="1">
      <c r="A26" s="21" t="s">
        <v>16</v>
      </c>
      <c r="B26" s="22">
        <v>2270</v>
      </c>
      <c r="C26" s="26">
        <f>SUM(C27:C31)</f>
        <v>2047457.51</v>
      </c>
      <c r="D26" s="26">
        <f t="shared" si="0"/>
        <v>2047457.51</v>
      </c>
    </row>
    <row r="27" spans="1:4">
      <c r="A27" s="23" t="s">
        <v>9</v>
      </c>
      <c r="B27" s="24">
        <v>2271</v>
      </c>
      <c r="C27" s="25">
        <f>1051114.54+592093.09</f>
        <v>1643207.63</v>
      </c>
      <c r="D27" s="25">
        <f t="shared" si="0"/>
        <v>1643207.63</v>
      </c>
    </row>
    <row r="28" spans="1:4">
      <c r="A28" s="23" t="s">
        <v>10</v>
      </c>
      <c r="B28" s="24">
        <v>2272</v>
      </c>
      <c r="C28" s="25">
        <f>25339.68+5928.91</f>
        <v>31268.59</v>
      </c>
      <c r="D28" s="25">
        <f t="shared" si="0"/>
        <v>31268.59</v>
      </c>
    </row>
    <row r="29" spans="1:4">
      <c r="A29" s="23" t="s">
        <v>11</v>
      </c>
      <c r="B29" s="24">
        <v>2273</v>
      </c>
      <c r="C29" s="25">
        <f>320424.7+43321.76</f>
        <v>363746.46</v>
      </c>
      <c r="D29" s="25">
        <f t="shared" si="0"/>
        <v>363746.46</v>
      </c>
    </row>
    <row r="30" spans="1:4" hidden="1">
      <c r="A30" s="23" t="s">
        <v>12</v>
      </c>
      <c r="B30" s="24">
        <v>2274</v>
      </c>
      <c r="C30" s="25"/>
      <c r="D30" s="25">
        <f t="shared" si="0"/>
        <v>0</v>
      </c>
    </row>
    <row r="31" spans="1:4">
      <c r="A31" s="23" t="s">
        <v>8</v>
      </c>
      <c r="B31" s="24">
        <v>2275</v>
      </c>
      <c r="C31" s="31">
        <f>3094.94+3094.94+1493.99+1550.96</f>
        <v>9234.83</v>
      </c>
      <c r="D31" s="31">
        <f t="shared" si="0"/>
        <v>9234.83</v>
      </c>
    </row>
    <row r="32" spans="1:4" s="10" customFormat="1">
      <c r="A32" s="21" t="s">
        <v>13</v>
      </c>
      <c r="B32" s="22">
        <v>2700</v>
      </c>
      <c r="C32" s="25">
        <f>C33</f>
        <v>0</v>
      </c>
      <c r="D32" s="25">
        <f t="shared" si="0"/>
        <v>0</v>
      </c>
    </row>
    <row r="33" spans="1:4">
      <c r="A33" s="23" t="s">
        <v>14</v>
      </c>
      <c r="B33" s="24">
        <v>2730</v>
      </c>
      <c r="C33" s="25"/>
      <c r="D33" s="25">
        <f t="shared" si="0"/>
        <v>0</v>
      </c>
    </row>
    <row r="34" spans="1:4" s="8" customFormat="1">
      <c r="A34" s="22" t="s">
        <v>15</v>
      </c>
      <c r="B34" s="22">
        <v>3000</v>
      </c>
      <c r="C34" s="26">
        <f>C35+C36</f>
        <v>0</v>
      </c>
      <c r="D34" s="26">
        <f t="shared" si="0"/>
        <v>0</v>
      </c>
    </row>
    <row r="35" spans="1:4">
      <c r="A35" s="23" t="s">
        <v>17</v>
      </c>
      <c r="B35" s="24">
        <v>3110</v>
      </c>
      <c r="C35" s="25"/>
      <c r="D35" s="25">
        <f t="shared" si="0"/>
        <v>0</v>
      </c>
    </row>
    <row r="36" spans="1:4">
      <c r="A36" s="23" t="s">
        <v>18</v>
      </c>
      <c r="B36" s="24">
        <v>3132</v>
      </c>
      <c r="C36" s="25"/>
      <c r="D36" s="25">
        <f t="shared" si="0"/>
        <v>0</v>
      </c>
    </row>
    <row r="37" spans="1:4" ht="15.75">
      <c r="A37" s="4"/>
      <c r="C37" s="18"/>
      <c r="D37" s="18"/>
    </row>
    <row r="38" spans="1:4" ht="15" customHeight="1">
      <c r="C38" s="18"/>
      <c r="D38" s="18"/>
    </row>
    <row r="39" spans="1:4" ht="15" customHeight="1">
      <c r="C39" s="18"/>
      <c r="D39" s="18"/>
    </row>
    <row r="44" spans="1:4" s="7" customFormat="1"/>
    <row r="45" spans="1:4" s="7" customFormat="1"/>
    <row r="46" spans="1:4" s="7" customFormat="1"/>
    <row r="82" s="7" customFormat="1"/>
    <row r="83" s="7" customFormat="1"/>
    <row r="84" s="7" customFormat="1"/>
    <row r="120" s="7" customFormat="1"/>
    <row r="121" s="7" customFormat="1"/>
    <row r="122" s="7" customFormat="1"/>
    <row r="158" s="7" customFormat="1"/>
    <row r="159" s="7" customFormat="1"/>
    <row r="160" s="7" customFormat="1"/>
    <row r="196" s="7" customFormat="1"/>
    <row r="197" s="7" customFormat="1"/>
    <row r="198" s="7" customFormat="1"/>
    <row r="234" s="7" customFormat="1"/>
    <row r="235" s="7" customFormat="1"/>
    <row r="236" s="7" customFormat="1"/>
    <row r="272" s="7" customFormat="1"/>
    <row r="273" s="7" customFormat="1"/>
    <row r="274" s="7" customFormat="1"/>
    <row r="310" s="7" customFormat="1"/>
    <row r="311" s="7" customFormat="1"/>
    <row r="312" s="7" customFormat="1"/>
    <row r="348" s="7" customFormat="1"/>
    <row r="349" s="7" customFormat="1"/>
    <row r="350" s="7" customFormat="1"/>
    <row r="386" s="7" customFormat="1"/>
    <row r="387" s="7" customFormat="1"/>
    <row r="388" s="7" customFormat="1"/>
    <row r="424" s="7" customFormat="1"/>
    <row r="425" s="7" customFormat="1"/>
    <row r="426" s="7" customFormat="1"/>
  </sheetData>
  <mergeCells count="6">
    <mergeCell ref="A12:D12"/>
    <mergeCell ref="A1:D1"/>
    <mergeCell ref="A2:D2"/>
    <mergeCell ref="A3:D3"/>
    <mergeCell ref="B5:D5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27"/>
  <sheetViews>
    <sheetView view="pageBreakPreview" zoomScaleNormal="6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52.5" customHeight="1">
      <c r="A5" s="16" t="s">
        <v>23</v>
      </c>
      <c r="B5" s="42" t="s">
        <v>40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C16+C35</f>
        <v>1089088.33</v>
      </c>
      <c r="D15" s="26">
        <f>C15</f>
        <v>1089088.33</v>
      </c>
    </row>
    <row r="16" spans="1:4" s="8" customFormat="1" ht="24">
      <c r="A16" s="24" t="s">
        <v>19</v>
      </c>
      <c r="B16" s="39">
        <v>2000</v>
      </c>
      <c r="C16" s="32">
        <f>C17+C33</f>
        <v>1089088.33</v>
      </c>
      <c r="D16" s="32">
        <f t="shared" ref="D16:D37" si="0">C16</f>
        <v>1089088.33</v>
      </c>
    </row>
    <row r="17" spans="1:4" s="10" customFormat="1">
      <c r="A17" s="21" t="s">
        <v>5</v>
      </c>
      <c r="B17" s="39">
        <v>2200</v>
      </c>
      <c r="C17" s="32">
        <f>C18+C20+C21+C22+C23+C24+C26+C27+C19+C25</f>
        <v>1089088.33</v>
      </c>
      <c r="D17" s="32">
        <f t="shared" si="0"/>
        <v>1089088.33</v>
      </c>
    </row>
    <row r="18" spans="1:4" s="11" customFormat="1">
      <c r="A18" s="27" t="s">
        <v>6</v>
      </c>
      <c r="B18" s="38">
        <v>2210</v>
      </c>
      <c r="C18" s="29">
        <f>3900+3300+1379.4+1580.05</f>
        <v>10159.449999999999</v>
      </c>
      <c r="D18" s="29">
        <f t="shared" si="0"/>
        <v>10159.449999999999</v>
      </c>
    </row>
    <row r="19" spans="1:4" s="11" customFormat="1">
      <c r="A19" s="27" t="s">
        <v>64</v>
      </c>
      <c r="B19" s="38">
        <v>2210</v>
      </c>
      <c r="C19" s="29">
        <f>10479.95+8151+2216.6+4546.9+5545+1107.71+5837.78+98600+556.72+395.9+1386.25+8050</f>
        <v>146873.81</v>
      </c>
      <c r="D19" s="29">
        <f t="shared" si="0"/>
        <v>146873.81</v>
      </c>
    </row>
    <row r="20" spans="1:4" s="7" customFormat="1">
      <c r="A20" s="27" t="s">
        <v>35</v>
      </c>
      <c r="B20" s="38">
        <v>2210</v>
      </c>
      <c r="C20" s="30"/>
      <c r="D20" s="30">
        <f t="shared" si="0"/>
        <v>0</v>
      </c>
    </row>
    <row r="21" spans="1:4" s="12" customFormat="1">
      <c r="A21" s="21" t="s">
        <v>37</v>
      </c>
      <c r="B21" s="39">
        <v>2210</v>
      </c>
      <c r="C21" s="32"/>
      <c r="D21" s="32">
        <f t="shared" si="0"/>
        <v>0</v>
      </c>
    </row>
    <row r="22" spans="1:4" s="11" customFormat="1">
      <c r="A22" s="21" t="s">
        <v>7</v>
      </c>
      <c r="B22" s="39">
        <v>2240</v>
      </c>
      <c r="C22" s="32">
        <f>2050+1725+893.94+13756.45+8300+3351.15</f>
        <v>30076.54</v>
      </c>
      <c r="D22" s="32">
        <f t="shared" si="0"/>
        <v>30076.54</v>
      </c>
    </row>
    <row r="23" spans="1:4">
      <c r="A23" s="21" t="s">
        <v>36</v>
      </c>
      <c r="B23" s="39">
        <v>2240</v>
      </c>
      <c r="C23" s="32">
        <f>49998.76</f>
        <v>49998.76</v>
      </c>
      <c r="D23" s="32">
        <f t="shared" si="0"/>
        <v>49998.76</v>
      </c>
    </row>
    <row r="24" spans="1:4">
      <c r="A24" s="21" t="s">
        <v>20</v>
      </c>
      <c r="B24" s="39">
        <v>2240</v>
      </c>
      <c r="C24" s="32"/>
      <c r="D24" s="32">
        <f t="shared" si="0"/>
        <v>0</v>
      </c>
    </row>
    <row r="25" spans="1:4" s="34" customFormat="1" ht="21.75">
      <c r="A25" s="21" t="s">
        <v>63</v>
      </c>
      <c r="B25" s="39">
        <v>2240</v>
      </c>
      <c r="C25" s="32">
        <f>13919.34+15182.89</f>
        <v>29102.23</v>
      </c>
      <c r="D25" s="32">
        <f t="shared" si="0"/>
        <v>29102.23</v>
      </c>
    </row>
    <row r="26" spans="1:4">
      <c r="A26" s="21" t="s">
        <v>37</v>
      </c>
      <c r="B26" s="39">
        <v>2240</v>
      </c>
      <c r="C26" s="32">
        <f>6327.24+1365</f>
        <v>7692.24</v>
      </c>
      <c r="D26" s="32">
        <f t="shared" si="0"/>
        <v>7692.24</v>
      </c>
    </row>
    <row r="27" spans="1:4" s="11" customFormat="1">
      <c r="A27" s="21" t="s">
        <v>16</v>
      </c>
      <c r="B27" s="39">
        <v>2270</v>
      </c>
      <c r="C27" s="32">
        <f>SUM(C28:C32)</f>
        <v>815185.3</v>
      </c>
      <c r="D27" s="32">
        <f t="shared" si="0"/>
        <v>815185.3</v>
      </c>
    </row>
    <row r="28" spans="1:4">
      <c r="A28" s="23" t="s">
        <v>9</v>
      </c>
      <c r="B28" s="40">
        <v>2271</v>
      </c>
      <c r="C28" s="31">
        <f>614662.66+96973.74</f>
        <v>711636.4</v>
      </c>
      <c r="D28" s="31">
        <f t="shared" si="0"/>
        <v>711636.4</v>
      </c>
    </row>
    <row r="29" spans="1:4">
      <c r="A29" s="23" t="s">
        <v>10</v>
      </c>
      <c r="B29" s="40">
        <v>2272</v>
      </c>
      <c r="C29" s="31">
        <f>10824.38+2127.6</f>
        <v>12951.98</v>
      </c>
      <c r="D29" s="31">
        <f t="shared" si="0"/>
        <v>12951.98</v>
      </c>
    </row>
    <row r="30" spans="1:4">
      <c r="A30" s="23" t="s">
        <v>11</v>
      </c>
      <c r="B30" s="40">
        <v>2273</v>
      </c>
      <c r="C30" s="31">
        <f>59081.73+18661.46</f>
        <v>77743.19</v>
      </c>
      <c r="D30" s="31">
        <f t="shared" si="0"/>
        <v>77743.19</v>
      </c>
    </row>
    <row r="31" spans="1:4" hidden="1">
      <c r="A31" s="23" t="s">
        <v>12</v>
      </c>
      <c r="B31" s="40">
        <v>2274</v>
      </c>
      <c r="C31" s="31"/>
      <c r="D31" s="31">
        <f t="shared" si="0"/>
        <v>0</v>
      </c>
    </row>
    <row r="32" spans="1:4">
      <c r="A32" s="23" t="s">
        <v>8</v>
      </c>
      <c r="B32" s="40">
        <v>2275</v>
      </c>
      <c r="C32" s="31">
        <f>5247.04+3119.86+2924.91+1561.92</f>
        <v>12853.73</v>
      </c>
      <c r="D32" s="31">
        <f t="shared" si="0"/>
        <v>12853.73</v>
      </c>
    </row>
    <row r="33" spans="1:4" s="10" customFormat="1">
      <c r="A33" s="21" t="s">
        <v>13</v>
      </c>
      <c r="B33" s="39">
        <v>2700</v>
      </c>
      <c r="C33" s="31">
        <f>C34</f>
        <v>0</v>
      </c>
      <c r="D33" s="31">
        <f t="shared" si="0"/>
        <v>0</v>
      </c>
    </row>
    <row r="34" spans="1:4">
      <c r="A34" s="23" t="s">
        <v>14</v>
      </c>
      <c r="B34" s="40">
        <v>2730</v>
      </c>
      <c r="C34" s="31"/>
      <c r="D34" s="31">
        <f t="shared" si="0"/>
        <v>0</v>
      </c>
    </row>
    <row r="35" spans="1:4" s="8" customFormat="1">
      <c r="A35" s="22" t="s">
        <v>15</v>
      </c>
      <c r="B35" s="39">
        <v>3000</v>
      </c>
      <c r="C35" s="31">
        <f>C36+C37</f>
        <v>0</v>
      </c>
      <c r="D35" s="31">
        <f t="shared" si="0"/>
        <v>0</v>
      </c>
    </row>
    <row r="36" spans="1:4">
      <c r="A36" s="23" t="s">
        <v>17</v>
      </c>
      <c r="B36" s="40">
        <v>3110</v>
      </c>
      <c r="C36" s="31"/>
      <c r="D36" s="31">
        <f t="shared" si="0"/>
        <v>0</v>
      </c>
    </row>
    <row r="37" spans="1:4">
      <c r="A37" s="23" t="s">
        <v>18</v>
      </c>
      <c r="B37" s="40">
        <v>3132</v>
      </c>
      <c r="C37" s="31"/>
      <c r="D37" s="31">
        <f t="shared" si="0"/>
        <v>0</v>
      </c>
    </row>
    <row r="38" spans="1:4" ht="15.75">
      <c r="A38" s="4"/>
    </row>
    <row r="45" spans="1:4" s="7" customFormat="1"/>
    <row r="46" spans="1:4" s="7" customFormat="1"/>
    <row r="47" spans="1:4" s="7" customFormat="1"/>
    <row r="83" s="7" customFormat="1"/>
    <row r="84" s="7" customFormat="1"/>
    <row r="85" s="7" customFormat="1"/>
    <row r="121" s="7" customFormat="1"/>
    <row r="122" s="7" customFormat="1"/>
    <row r="123" s="7" customFormat="1"/>
    <row r="159" s="7" customFormat="1"/>
    <row r="160" s="7" customFormat="1"/>
    <row r="161" s="7" customFormat="1"/>
    <row r="197" s="7" customFormat="1"/>
    <row r="198" s="7" customFormat="1"/>
    <row r="199" s="7" customFormat="1"/>
    <row r="235" s="7" customFormat="1"/>
    <row r="236" s="7" customFormat="1"/>
    <row r="237" s="7" customFormat="1"/>
    <row r="273" s="7" customFormat="1"/>
    <row r="274" s="7" customFormat="1"/>
    <row r="275" s="7" customFormat="1"/>
    <row r="311" s="7" customFormat="1"/>
    <row r="312" s="7" customFormat="1"/>
    <row r="313" s="7" customFormat="1"/>
    <row r="349" s="7" customFormat="1"/>
    <row r="350" s="7" customFormat="1"/>
    <row r="351" s="7" customFormat="1"/>
    <row r="387" s="7" customFormat="1"/>
    <row r="388" s="7" customFormat="1"/>
    <row r="389" s="7" customFormat="1"/>
    <row r="425" s="7" customFormat="1"/>
    <row r="426" s="7" customFormat="1"/>
    <row r="427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27"/>
  <sheetViews>
    <sheetView view="pageBreakPreview" zoomScaleNormal="70" zoomScaleSheetLayoutView="100" workbookViewId="0">
      <selection activeCell="E1" sqref="E1:G1048576"/>
    </sheetView>
  </sheetViews>
  <sheetFormatPr defaultColWidth="14.390625" defaultRowHeight="15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52.5" customHeight="1">
      <c r="A5" s="16" t="s">
        <v>23</v>
      </c>
      <c r="B5" s="42" t="s">
        <v>41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C16+C35</f>
        <v>2281296.8199999998</v>
      </c>
      <c r="D15" s="26">
        <f>C15</f>
        <v>2281296.8199999998</v>
      </c>
    </row>
    <row r="16" spans="1:4" s="8" customFormat="1" ht="24">
      <c r="A16" s="24" t="s">
        <v>19</v>
      </c>
      <c r="B16" s="22">
        <v>2000</v>
      </c>
      <c r="C16" s="26">
        <f>C17+C33</f>
        <v>2281296.8199999998</v>
      </c>
      <c r="D16" s="26">
        <f t="shared" ref="D16:D37" si="0">C16</f>
        <v>2281296.8199999998</v>
      </c>
    </row>
    <row r="17" spans="1:4" s="10" customFormat="1">
      <c r="A17" s="21" t="s">
        <v>5</v>
      </c>
      <c r="B17" s="22">
        <v>2200</v>
      </c>
      <c r="C17" s="26">
        <f>C18+C20+C21+C22+C23+C24+C26+C27+C19+C25</f>
        <v>2281296.8199999998</v>
      </c>
      <c r="D17" s="26">
        <f t="shared" si="0"/>
        <v>2281296.8199999998</v>
      </c>
    </row>
    <row r="18" spans="1:4" s="11" customFormat="1">
      <c r="A18" s="27" t="s">
        <v>6</v>
      </c>
      <c r="B18" s="35">
        <v>2210</v>
      </c>
      <c r="C18" s="36">
        <f>3120+3300+1379.4+1580.05</f>
        <v>9379.4499999999989</v>
      </c>
      <c r="D18" s="36">
        <f t="shared" si="0"/>
        <v>9379.4499999999989</v>
      </c>
    </row>
    <row r="19" spans="1:4" s="11" customFormat="1">
      <c r="A19" s="27" t="s">
        <v>64</v>
      </c>
      <c r="B19" s="35">
        <v>2210</v>
      </c>
      <c r="C19" s="36">
        <f>10479.95+8151+6649.81+13640.7+11090+2215.43+8756.66+3150+1113.44+791.81+2772.5+8050</f>
        <v>76861.3</v>
      </c>
      <c r="D19" s="36">
        <f t="shared" si="0"/>
        <v>76861.3</v>
      </c>
    </row>
    <row r="20" spans="1:4" s="7" customFormat="1">
      <c r="A20" s="27" t="s">
        <v>35</v>
      </c>
      <c r="B20" s="35">
        <v>2210</v>
      </c>
      <c r="C20" s="37">
        <f>33051.98</f>
        <v>33051.980000000003</v>
      </c>
      <c r="D20" s="37">
        <f t="shared" si="0"/>
        <v>33051.980000000003</v>
      </c>
    </row>
    <row r="21" spans="1:4" s="12" customFormat="1">
      <c r="A21" s="21" t="s">
        <v>37</v>
      </c>
      <c r="B21" s="22">
        <v>2210</v>
      </c>
      <c r="C21" s="37">
        <f>104000</f>
        <v>104000</v>
      </c>
      <c r="D21" s="37">
        <f t="shared" si="0"/>
        <v>104000</v>
      </c>
    </row>
    <row r="22" spans="1:4" s="11" customFormat="1">
      <c r="A22" s="21" t="s">
        <v>7</v>
      </c>
      <c r="B22" s="22">
        <v>2240</v>
      </c>
      <c r="C22" s="26">
        <f>2050+1775+2025+3282.54+7868.52+3351.15</f>
        <v>20352.210000000003</v>
      </c>
      <c r="D22" s="26">
        <f t="shared" si="0"/>
        <v>20352.210000000003</v>
      </c>
    </row>
    <row r="23" spans="1:4">
      <c r="A23" s="21" t="s">
        <v>36</v>
      </c>
      <c r="B23" s="22">
        <v>2240</v>
      </c>
      <c r="C23" s="26"/>
      <c r="D23" s="26">
        <f t="shared" si="0"/>
        <v>0</v>
      </c>
    </row>
    <row r="24" spans="1:4">
      <c r="A24" s="21" t="s">
        <v>20</v>
      </c>
      <c r="B24" s="22">
        <v>2240</v>
      </c>
      <c r="C24" s="26">
        <f>14978.84</f>
        <v>14978.84</v>
      </c>
      <c r="D24" s="26">
        <f t="shared" si="0"/>
        <v>14978.84</v>
      </c>
    </row>
    <row r="25" spans="1:4" s="34" customFormat="1" ht="21.75">
      <c r="A25" s="21" t="s">
        <v>63</v>
      </c>
      <c r="B25" s="22">
        <v>2240</v>
      </c>
      <c r="C25" s="26">
        <f>67389.06</f>
        <v>67389.06</v>
      </c>
      <c r="D25" s="26">
        <f t="shared" si="0"/>
        <v>67389.06</v>
      </c>
    </row>
    <row r="26" spans="1:4">
      <c r="A26" s="21" t="s">
        <v>37</v>
      </c>
      <c r="B26" s="22">
        <v>2240</v>
      </c>
      <c r="C26" s="26">
        <f>4784.2+1105</f>
        <v>5889.2</v>
      </c>
      <c r="D26" s="26">
        <f t="shared" si="0"/>
        <v>5889.2</v>
      </c>
    </row>
    <row r="27" spans="1:4" s="11" customFormat="1">
      <c r="A27" s="21" t="s">
        <v>16</v>
      </c>
      <c r="B27" s="22">
        <v>2270</v>
      </c>
      <c r="C27" s="26">
        <f>SUM(C28:C32)</f>
        <v>1949394.7799999998</v>
      </c>
      <c r="D27" s="26">
        <f t="shared" si="0"/>
        <v>1949394.7799999998</v>
      </c>
    </row>
    <row r="28" spans="1:4">
      <c r="A28" s="23" t="s">
        <v>9</v>
      </c>
      <c r="B28" s="24">
        <v>2271</v>
      </c>
      <c r="C28" s="25">
        <f>1390787.49+290696.23</f>
        <v>1681483.72</v>
      </c>
      <c r="D28" s="25">
        <f t="shared" si="0"/>
        <v>1681483.72</v>
      </c>
    </row>
    <row r="29" spans="1:4">
      <c r="A29" s="23" t="s">
        <v>10</v>
      </c>
      <c r="B29" s="24">
        <v>2272</v>
      </c>
      <c r="C29" s="25">
        <f>45289.68+14354.21</f>
        <v>59643.89</v>
      </c>
      <c r="D29" s="25">
        <f t="shared" si="0"/>
        <v>59643.89</v>
      </c>
    </row>
    <row r="30" spans="1:4">
      <c r="A30" s="23" t="s">
        <v>11</v>
      </c>
      <c r="B30" s="24">
        <v>2273</v>
      </c>
      <c r="C30" s="25">
        <f>164649.8+35644.35</f>
        <v>200294.15</v>
      </c>
      <c r="D30" s="25">
        <f t="shared" si="0"/>
        <v>200294.15</v>
      </c>
    </row>
    <row r="31" spans="1:4" hidden="1">
      <c r="A31" s="23" t="s">
        <v>12</v>
      </c>
      <c r="B31" s="24">
        <v>2274</v>
      </c>
      <c r="C31" s="25"/>
      <c r="D31" s="25">
        <f t="shared" si="0"/>
        <v>0</v>
      </c>
    </row>
    <row r="32" spans="1:4">
      <c r="A32" s="23" t="s">
        <v>8</v>
      </c>
      <c r="B32" s="24">
        <v>2275</v>
      </c>
      <c r="C32" s="25">
        <f>5530.67+2442.35</f>
        <v>7973.02</v>
      </c>
      <c r="D32" s="25">
        <f t="shared" si="0"/>
        <v>7973.02</v>
      </c>
    </row>
    <row r="33" spans="1:4" s="10" customFormat="1">
      <c r="A33" s="21" t="s">
        <v>13</v>
      </c>
      <c r="B33" s="22">
        <v>2700</v>
      </c>
      <c r="C33" s="26">
        <f>C34</f>
        <v>0</v>
      </c>
      <c r="D33" s="26">
        <f t="shared" si="0"/>
        <v>0</v>
      </c>
    </row>
    <row r="34" spans="1:4">
      <c r="A34" s="23" t="s">
        <v>14</v>
      </c>
      <c r="B34" s="24">
        <v>2730</v>
      </c>
      <c r="C34" s="25"/>
      <c r="D34" s="25">
        <f t="shared" si="0"/>
        <v>0</v>
      </c>
    </row>
    <row r="35" spans="1:4" s="8" customFormat="1">
      <c r="A35" s="22" t="s">
        <v>15</v>
      </c>
      <c r="B35" s="22">
        <v>3000</v>
      </c>
      <c r="C35" s="25">
        <f>C36+C37</f>
        <v>0</v>
      </c>
      <c r="D35" s="25">
        <f t="shared" si="0"/>
        <v>0</v>
      </c>
    </row>
    <row r="36" spans="1:4">
      <c r="A36" s="23" t="s">
        <v>17</v>
      </c>
      <c r="B36" s="24">
        <v>3110</v>
      </c>
      <c r="C36" s="25"/>
      <c r="D36" s="25">
        <f t="shared" si="0"/>
        <v>0</v>
      </c>
    </row>
    <row r="37" spans="1:4">
      <c r="A37" s="23" t="s">
        <v>18</v>
      </c>
      <c r="B37" s="24">
        <v>3132</v>
      </c>
      <c r="C37" s="25"/>
      <c r="D37" s="25">
        <f t="shared" si="0"/>
        <v>0</v>
      </c>
    </row>
    <row r="38" spans="1:4" ht="15.75">
      <c r="A38" s="4"/>
      <c r="C38" s="18"/>
      <c r="D38" s="18"/>
    </row>
    <row r="39" spans="1:4" ht="15" customHeight="1">
      <c r="C39" s="18"/>
      <c r="D39" s="18"/>
    </row>
    <row r="40" spans="1:4" ht="15" customHeight="1">
      <c r="C40" s="18"/>
      <c r="D40" s="18"/>
    </row>
    <row r="41" spans="1:4" ht="15" customHeight="1">
      <c r="C41" s="18"/>
      <c r="D41" s="18"/>
    </row>
    <row r="42" spans="1:4" ht="15" customHeight="1">
      <c r="C42" s="18"/>
      <c r="D42" s="18"/>
    </row>
    <row r="43" spans="1:4" ht="15" customHeight="1"/>
    <row r="44" spans="1:4" ht="15" customHeight="1"/>
    <row r="45" spans="1:4" s="7" customFormat="1"/>
    <row r="46" spans="1:4" s="7" customFormat="1"/>
    <row r="47" spans="1:4" s="7" customFormat="1"/>
    <row r="48" spans="1: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s="7" customFormat="1"/>
    <row r="84" s="7" customFormat="1"/>
    <row r="85" s="7" customForma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s="7" customFormat="1"/>
    <row r="122" s="7" customFormat="1"/>
    <row r="123" s="7" customForma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s="7" customFormat="1"/>
    <row r="160" s="7" customFormat="1"/>
    <row r="161" s="7" customForma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s="7" customFormat="1"/>
    <row r="198" s="7" customFormat="1"/>
    <row r="199" s="7" customFormat="1"/>
    <row r="200" ht="15" customHeight="1"/>
    <row r="201" ht="15" customHeight="1"/>
    <row r="235" s="7" customFormat="1"/>
    <row r="236" s="7" customFormat="1"/>
    <row r="237" s="7" customFormat="1"/>
    <row r="273" s="7" customFormat="1"/>
    <row r="274" s="7" customFormat="1"/>
    <row r="275" s="7" customFormat="1"/>
    <row r="311" s="7" customFormat="1"/>
    <row r="312" s="7" customFormat="1"/>
    <row r="313" s="7" customFormat="1"/>
    <row r="349" s="7" customFormat="1"/>
    <row r="350" s="7" customFormat="1"/>
    <row r="351" s="7" customFormat="1"/>
    <row r="387" s="7" customFormat="1"/>
    <row r="388" s="7" customFormat="1"/>
    <row r="389" s="7" customFormat="1"/>
    <row r="425" s="7" customFormat="1"/>
    <row r="426" s="7" customFormat="1"/>
    <row r="427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7"/>
  <sheetViews>
    <sheetView view="pageBreakPreview" zoomScaleNormal="7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52.5" customHeight="1">
      <c r="A5" s="16" t="s">
        <v>23</v>
      </c>
      <c r="B5" s="42" t="s">
        <v>42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C16+C35</f>
        <v>3730189.84</v>
      </c>
      <c r="D15" s="26">
        <f>C15</f>
        <v>3730189.84</v>
      </c>
    </row>
    <row r="16" spans="1:4" s="8" customFormat="1" ht="24">
      <c r="A16" s="24" t="s">
        <v>19</v>
      </c>
      <c r="B16" s="22">
        <v>2000</v>
      </c>
      <c r="C16" s="26">
        <f>C17+C33</f>
        <v>3255189.84</v>
      </c>
      <c r="D16" s="26">
        <f t="shared" ref="D16:D37" si="0">C16</f>
        <v>3255189.84</v>
      </c>
    </row>
    <row r="17" spans="1:4" s="10" customFormat="1">
      <c r="A17" s="21" t="s">
        <v>5</v>
      </c>
      <c r="B17" s="22">
        <v>2200</v>
      </c>
      <c r="C17" s="26">
        <f>C18+C20+C21+C22+C23+C24+C26+C27+C25+C19</f>
        <v>3255189.84</v>
      </c>
      <c r="D17" s="26">
        <f t="shared" si="0"/>
        <v>3255189.84</v>
      </c>
    </row>
    <row r="18" spans="1:4" s="11" customFormat="1">
      <c r="A18" s="27" t="s">
        <v>6</v>
      </c>
      <c r="B18" s="35">
        <v>2210</v>
      </c>
      <c r="C18" s="36">
        <f>4680+4620+1379.4+1580.05</f>
        <v>12259.449999999999</v>
      </c>
      <c r="D18" s="26">
        <f t="shared" si="0"/>
        <v>12259.449999999999</v>
      </c>
    </row>
    <row r="19" spans="1:4" s="11" customFormat="1">
      <c r="A19" s="27" t="s">
        <v>64</v>
      </c>
      <c r="B19" s="35">
        <v>2210</v>
      </c>
      <c r="C19" s="36">
        <f>10479.95+8151+1108.3+13640.7+16635+1107.71+7297.22+3150+1113.44+791.81+1386.25+9660</f>
        <v>74521.38</v>
      </c>
      <c r="D19" s="36">
        <f t="shared" si="0"/>
        <v>74521.38</v>
      </c>
    </row>
    <row r="20" spans="1:4" s="7" customFormat="1">
      <c r="A20" s="27" t="s">
        <v>35</v>
      </c>
      <c r="B20" s="35">
        <v>2210</v>
      </c>
      <c r="C20" s="37">
        <f>42015.45</f>
        <v>42015.45</v>
      </c>
      <c r="D20" s="26">
        <f t="shared" si="0"/>
        <v>42015.45</v>
      </c>
    </row>
    <row r="21" spans="1:4" s="12" customFormat="1">
      <c r="A21" s="21" t="s">
        <v>37</v>
      </c>
      <c r="B21" s="22">
        <v>2210</v>
      </c>
      <c r="C21" s="37">
        <f>109200</f>
        <v>109200</v>
      </c>
      <c r="D21" s="26">
        <f t="shared" si="0"/>
        <v>109200</v>
      </c>
    </row>
    <row r="22" spans="1:4" s="11" customFormat="1">
      <c r="A22" s="21" t="s">
        <v>7</v>
      </c>
      <c r="B22" s="22">
        <v>2240</v>
      </c>
      <c r="C22" s="26">
        <f>2050+2650+2090.94+9385.14+3351.15</f>
        <v>19527.23</v>
      </c>
      <c r="D22" s="26">
        <f t="shared" si="0"/>
        <v>19527.23</v>
      </c>
    </row>
    <row r="23" spans="1:4">
      <c r="A23" s="21" t="s">
        <v>36</v>
      </c>
      <c r="B23" s="22">
        <v>2240</v>
      </c>
      <c r="C23" s="26">
        <f>50000</f>
        <v>50000</v>
      </c>
      <c r="D23" s="26">
        <f t="shared" si="0"/>
        <v>50000</v>
      </c>
    </row>
    <row r="24" spans="1:4">
      <c r="A24" s="21" t="s">
        <v>20</v>
      </c>
      <c r="B24" s="22">
        <v>2240</v>
      </c>
      <c r="C24" s="26">
        <f>42700.46</f>
        <v>42700.46</v>
      </c>
      <c r="D24" s="26">
        <f t="shared" si="0"/>
        <v>42700.46</v>
      </c>
    </row>
    <row r="25" spans="1:4" s="34" customFormat="1" ht="21.75">
      <c r="A25" s="21" t="s">
        <v>63</v>
      </c>
      <c r="B25" s="22">
        <v>2240</v>
      </c>
      <c r="C25" s="26">
        <f>48002.05</f>
        <v>48002.05</v>
      </c>
      <c r="D25" s="26">
        <f t="shared" si="0"/>
        <v>48002.05</v>
      </c>
    </row>
    <row r="26" spans="1:4">
      <c r="A26" s="21" t="s">
        <v>37</v>
      </c>
      <c r="B26" s="22">
        <v>2240</v>
      </c>
      <c r="C26" s="26">
        <f>5280.59+520</f>
        <v>5800.59</v>
      </c>
      <c r="D26" s="26">
        <f t="shared" si="0"/>
        <v>5800.59</v>
      </c>
    </row>
    <row r="27" spans="1:4" s="11" customFormat="1">
      <c r="A27" s="21" t="s">
        <v>16</v>
      </c>
      <c r="B27" s="22">
        <v>2270</v>
      </c>
      <c r="C27" s="26">
        <f>SUM(C28:C32)</f>
        <v>2851163.23</v>
      </c>
      <c r="D27" s="26">
        <f t="shared" si="0"/>
        <v>2851163.23</v>
      </c>
    </row>
    <row r="28" spans="1:4">
      <c r="A28" s="23" t="s">
        <v>9</v>
      </c>
      <c r="B28" s="24">
        <v>2271</v>
      </c>
      <c r="C28" s="25">
        <f>1700591.3+989651.55</f>
        <v>2690242.85</v>
      </c>
      <c r="D28" s="25">
        <f t="shared" si="0"/>
        <v>2690242.85</v>
      </c>
    </row>
    <row r="29" spans="1:4">
      <c r="A29" s="23" t="s">
        <v>10</v>
      </c>
      <c r="B29" s="24">
        <v>2272</v>
      </c>
      <c r="C29" s="25">
        <f>10021.78+3177.22</f>
        <v>13199</v>
      </c>
      <c r="D29" s="25">
        <f t="shared" si="0"/>
        <v>13199</v>
      </c>
    </row>
    <row r="30" spans="1:4">
      <c r="A30" s="23" t="s">
        <v>11</v>
      </c>
      <c r="B30" s="24">
        <v>2273</v>
      </c>
      <c r="C30" s="25">
        <f>106629.87+33770.43</f>
        <v>140400.29999999999</v>
      </c>
      <c r="D30" s="25">
        <f t="shared" si="0"/>
        <v>140400.29999999999</v>
      </c>
    </row>
    <row r="31" spans="1:4" hidden="1">
      <c r="A31" s="23" t="s">
        <v>12</v>
      </c>
      <c r="B31" s="24">
        <v>2274</v>
      </c>
      <c r="C31" s="25"/>
      <c r="D31" s="25">
        <f t="shared" si="0"/>
        <v>0</v>
      </c>
    </row>
    <row r="32" spans="1:4">
      <c r="A32" s="23" t="s">
        <v>8</v>
      </c>
      <c r="B32" s="24">
        <v>2275</v>
      </c>
      <c r="C32" s="25">
        <f>4396.17+2924.91</f>
        <v>7321.08</v>
      </c>
      <c r="D32" s="25">
        <f t="shared" si="0"/>
        <v>7321.08</v>
      </c>
    </row>
    <row r="33" spans="1:4" s="10" customFormat="1">
      <c r="A33" s="21" t="s">
        <v>13</v>
      </c>
      <c r="B33" s="22">
        <v>2700</v>
      </c>
      <c r="C33" s="26">
        <f>C34</f>
        <v>0</v>
      </c>
      <c r="D33" s="26">
        <f t="shared" si="0"/>
        <v>0</v>
      </c>
    </row>
    <row r="34" spans="1:4">
      <c r="A34" s="23" t="s">
        <v>14</v>
      </c>
      <c r="B34" s="24">
        <v>2730</v>
      </c>
      <c r="C34" s="25"/>
      <c r="D34" s="25">
        <f t="shared" si="0"/>
        <v>0</v>
      </c>
    </row>
    <row r="35" spans="1:4" s="8" customFormat="1">
      <c r="A35" s="22" t="s">
        <v>15</v>
      </c>
      <c r="B35" s="22">
        <v>3000</v>
      </c>
      <c r="C35" s="25">
        <f>C36+C37</f>
        <v>475000</v>
      </c>
      <c r="D35" s="25">
        <f t="shared" si="0"/>
        <v>475000</v>
      </c>
    </row>
    <row r="36" spans="1:4">
      <c r="A36" s="23" t="s">
        <v>17</v>
      </c>
      <c r="B36" s="24">
        <v>3110</v>
      </c>
      <c r="C36" s="25">
        <f>475000</f>
        <v>475000</v>
      </c>
      <c r="D36" s="25">
        <f t="shared" si="0"/>
        <v>475000</v>
      </c>
    </row>
    <row r="37" spans="1:4">
      <c r="A37" s="23" t="s">
        <v>18</v>
      </c>
      <c r="B37" s="24">
        <v>3132</v>
      </c>
      <c r="C37" s="25"/>
      <c r="D37" s="25">
        <f t="shared" si="0"/>
        <v>0</v>
      </c>
    </row>
    <row r="38" spans="1:4" ht="15.75">
      <c r="A38" s="4"/>
      <c r="C38" s="18"/>
      <c r="D38" s="18"/>
    </row>
    <row r="45" spans="1:4" s="7" customFormat="1"/>
    <row r="46" spans="1:4" s="7" customFormat="1"/>
    <row r="47" spans="1:4" s="7" customFormat="1"/>
    <row r="83" s="7" customFormat="1"/>
    <row r="84" s="7" customFormat="1"/>
    <row r="85" s="7" customFormat="1"/>
    <row r="121" s="7" customFormat="1"/>
    <row r="122" s="7" customFormat="1"/>
    <row r="123" s="7" customFormat="1"/>
    <row r="159" s="7" customFormat="1"/>
    <row r="160" s="7" customFormat="1"/>
    <row r="161" s="7" customFormat="1"/>
    <row r="197" s="7" customFormat="1"/>
    <row r="198" s="7" customFormat="1"/>
    <row r="199" s="7" customFormat="1"/>
    <row r="235" s="7" customFormat="1"/>
    <row r="236" s="7" customFormat="1"/>
    <row r="237" s="7" customFormat="1"/>
    <row r="273" s="7" customFormat="1"/>
    <row r="274" s="7" customFormat="1"/>
    <row r="275" s="7" customFormat="1"/>
    <row r="311" s="7" customFormat="1"/>
    <row r="312" s="7" customFormat="1"/>
    <row r="313" s="7" customFormat="1"/>
    <row r="349" s="7" customFormat="1"/>
    <row r="350" s="7" customFormat="1"/>
    <row r="351" s="7" customFormat="1"/>
    <row r="387" s="7" customFormat="1"/>
    <row r="388" s="7" customFormat="1"/>
    <row r="389" s="7" customFormat="1"/>
    <row r="425" s="7" customFormat="1"/>
    <row r="426" s="7" customFormat="1"/>
    <row r="427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7"/>
  <sheetViews>
    <sheetView view="pageBreakPreview" zoomScaleNormal="8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62.25" customHeight="1">
      <c r="A5" s="16" t="s">
        <v>23</v>
      </c>
      <c r="B5" s="42" t="s">
        <v>43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C16+C35</f>
        <v>1930531.85</v>
      </c>
      <c r="D15" s="26">
        <f>C15</f>
        <v>1930531.85</v>
      </c>
    </row>
    <row r="16" spans="1:4" s="8" customFormat="1" ht="24">
      <c r="A16" s="24" t="s">
        <v>19</v>
      </c>
      <c r="B16" s="22">
        <v>2000</v>
      </c>
      <c r="C16" s="26">
        <f>C17+C33</f>
        <v>1063019.77</v>
      </c>
      <c r="D16" s="26">
        <f t="shared" ref="D16:D37" si="0">C16</f>
        <v>1063019.77</v>
      </c>
    </row>
    <row r="17" spans="1:4" s="10" customFormat="1">
      <c r="A17" s="21" t="s">
        <v>5</v>
      </c>
      <c r="B17" s="22">
        <v>2200</v>
      </c>
      <c r="C17" s="26">
        <f>C18+C20+C21+C22+C23+C24+C26+C27+C19+C25</f>
        <v>1063019.77</v>
      </c>
      <c r="D17" s="26">
        <f t="shared" si="0"/>
        <v>1063019.77</v>
      </c>
    </row>
    <row r="18" spans="1:4" s="11" customFormat="1">
      <c r="A18" s="27" t="s">
        <v>6</v>
      </c>
      <c r="B18" s="35">
        <v>2210</v>
      </c>
      <c r="C18" s="36">
        <f>3120+2500+1379.4+1580.05+4824.34+36000</f>
        <v>49403.79</v>
      </c>
      <c r="D18" s="26">
        <f t="shared" si="0"/>
        <v>49403.79</v>
      </c>
    </row>
    <row r="19" spans="1:4" s="11" customFormat="1">
      <c r="A19" s="27" t="s">
        <v>64</v>
      </c>
      <c r="B19" s="35">
        <v>2210</v>
      </c>
      <c r="C19" s="36">
        <f>10479.95+8151+3324.91+9093.8+8317.5+2215.43+8756.66+3150+1113.44+395.9+2772.5+8050</f>
        <v>65821.09</v>
      </c>
      <c r="D19" s="36">
        <f t="shared" si="0"/>
        <v>65821.09</v>
      </c>
    </row>
    <row r="20" spans="1:4" s="7" customFormat="1">
      <c r="A20" s="27" t="s">
        <v>35</v>
      </c>
      <c r="B20" s="35">
        <v>2210</v>
      </c>
      <c r="C20" s="37"/>
      <c r="D20" s="26">
        <f t="shared" si="0"/>
        <v>0</v>
      </c>
    </row>
    <row r="21" spans="1:4" s="12" customFormat="1">
      <c r="A21" s="21" t="s">
        <v>37</v>
      </c>
      <c r="B21" s="22">
        <v>2210</v>
      </c>
      <c r="C21" s="37"/>
      <c r="D21" s="26">
        <f t="shared" si="0"/>
        <v>0</v>
      </c>
    </row>
    <row r="22" spans="1:4" s="11" customFormat="1">
      <c r="A22" s="21" t="s">
        <v>7</v>
      </c>
      <c r="B22" s="22">
        <v>2240</v>
      </c>
      <c r="C22" s="26">
        <f>2050+1675+555.96+804.96+8354.11+3351.15</f>
        <v>16791.18</v>
      </c>
      <c r="D22" s="26">
        <f t="shared" si="0"/>
        <v>16791.18</v>
      </c>
    </row>
    <row r="23" spans="1:4">
      <c r="A23" s="21" t="s">
        <v>36</v>
      </c>
      <c r="B23" s="22">
        <v>2240</v>
      </c>
      <c r="C23" s="26"/>
      <c r="D23" s="26">
        <f t="shared" si="0"/>
        <v>0</v>
      </c>
    </row>
    <row r="24" spans="1:4">
      <c r="A24" s="21" t="s">
        <v>20</v>
      </c>
      <c r="B24" s="22">
        <v>2240</v>
      </c>
      <c r="C24" s="26">
        <f>49149+16480.53</f>
        <v>65629.53</v>
      </c>
      <c r="D24" s="26">
        <f t="shared" si="0"/>
        <v>65629.53</v>
      </c>
    </row>
    <row r="25" spans="1:4" s="34" customFormat="1" ht="21.75">
      <c r="A25" s="21" t="s">
        <v>63</v>
      </c>
      <c r="B25" s="22">
        <v>2240</v>
      </c>
      <c r="C25" s="26"/>
      <c r="D25" s="26">
        <f t="shared" si="0"/>
        <v>0</v>
      </c>
    </row>
    <row r="26" spans="1:4">
      <c r="A26" s="21" t="s">
        <v>37</v>
      </c>
      <c r="B26" s="22">
        <v>2240</v>
      </c>
      <c r="C26" s="26">
        <f>1777.19+1430</f>
        <v>3207.19</v>
      </c>
      <c r="D26" s="26">
        <f t="shared" si="0"/>
        <v>3207.19</v>
      </c>
    </row>
    <row r="27" spans="1:4" s="11" customFormat="1">
      <c r="A27" s="21" t="s">
        <v>16</v>
      </c>
      <c r="B27" s="22">
        <v>2270</v>
      </c>
      <c r="C27" s="26">
        <f>SUM(C28:C32)</f>
        <v>862166.99</v>
      </c>
      <c r="D27" s="26">
        <f t="shared" si="0"/>
        <v>862166.99</v>
      </c>
    </row>
    <row r="28" spans="1:4">
      <c r="A28" s="23" t="s">
        <v>9</v>
      </c>
      <c r="B28" s="24">
        <v>2271</v>
      </c>
      <c r="C28" s="25">
        <f>481113.45+117005.89</f>
        <v>598119.34</v>
      </c>
      <c r="D28" s="25">
        <f t="shared" si="0"/>
        <v>598119.34</v>
      </c>
    </row>
    <row r="29" spans="1:4">
      <c r="A29" s="23" t="s">
        <v>10</v>
      </c>
      <c r="B29" s="24">
        <v>2272</v>
      </c>
      <c r="C29" s="25">
        <f>21752.88+2950.27</f>
        <v>24703.15</v>
      </c>
      <c r="D29" s="25">
        <f t="shared" si="0"/>
        <v>24703.15</v>
      </c>
    </row>
    <row r="30" spans="1:4">
      <c r="A30" s="23" t="s">
        <v>11</v>
      </c>
      <c r="B30" s="24">
        <v>2273</v>
      </c>
      <c r="C30" s="25">
        <f>187202.15+46582.13</f>
        <v>233784.28</v>
      </c>
      <c r="D30" s="25">
        <f t="shared" si="0"/>
        <v>233784.28</v>
      </c>
    </row>
    <row r="31" spans="1:4" hidden="1">
      <c r="A31" s="23" t="s">
        <v>12</v>
      </c>
      <c r="B31" s="24">
        <v>2274</v>
      </c>
      <c r="C31" s="25"/>
      <c r="D31" s="25">
        <f t="shared" si="0"/>
        <v>0</v>
      </c>
    </row>
    <row r="32" spans="1:4">
      <c r="A32" s="23" t="s">
        <v>8</v>
      </c>
      <c r="B32" s="24">
        <v>2275</v>
      </c>
      <c r="C32" s="25">
        <f>4537.98+1022.24</f>
        <v>5560.2199999999993</v>
      </c>
      <c r="D32" s="25">
        <f t="shared" si="0"/>
        <v>5560.2199999999993</v>
      </c>
    </row>
    <row r="33" spans="1:4" s="10" customFormat="1">
      <c r="A33" s="21" t="s">
        <v>13</v>
      </c>
      <c r="B33" s="22">
        <v>2700</v>
      </c>
      <c r="C33" s="25">
        <f>C34</f>
        <v>0</v>
      </c>
      <c r="D33" s="25">
        <f t="shared" si="0"/>
        <v>0</v>
      </c>
    </row>
    <row r="34" spans="1:4">
      <c r="A34" s="23" t="s">
        <v>14</v>
      </c>
      <c r="B34" s="24">
        <v>2730</v>
      </c>
      <c r="C34" s="25"/>
      <c r="D34" s="25">
        <f t="shared" si="0"/>
        <v>0</v>
      </c>
    </row>
    <row r="35" spans="1:4" s="8" customFormat="1">
      <c r="A35" s="22" t="s">
        <v>15</v>
      </c>
      <c r="B35" s="22">
        <v>3000</v>
      </c>
      <c r="C35" s="26">
        <f>C36+C37</f>
        <v>867512.08000000007</v>
      </c>
      <c r="D35" s="26">
        <f t="shared" si="0"/>
        <v>867512.08000000007</v>
      </c>
    </row>
    <row r="36" spans="1:4">
      <c r="A36" s="23" t="s">
        <v>17</v>
      </c>
      <c r="B36" s="24">
        <v>3110</v>
      </c>
      <c r="C36" s="25"/>
      <c r="D36" s="25">
        <f t="shared" si="0"/>
        <v>0</v>
      </c>
    </row>
    <row r="37" spans="1:4">
      <c r="A37" s="23" t="s">
        <v>18</v>
      </c>
      <c r="B37" s="24">
        <v>3132</v>
      </c>
      <c r="C37" s="25">
        <f>846896.4+2842+17773.68</f>
        <v>867512.08000000007</v>
      </c>
      <c r="D37" s="25">
        <f t="shared" si="0"/>
        <v>867512.08000000007</v>
      </c>
    </row>
    <row r="38" spans="1:4" ht="15.75">
      <c r="A38" s="4"/>
      <c r="C38" s="18"/>
      <c r="D38" s="18"/>
    </row>
    <row r="39" spans="1:4" ht="15" customHeight="1">
      <c r="C39" s="18"/>
      <c r="D39" s="18"/>
    </row>
    <row r="45" spans="1:4" s="7" customFormat="1"/>
    <row r="46" spans="1:4" s="7" customFormat="1"/>
    <row r="47" spans="1:4" s="7" customFormat="1"/>
    <row r="83" s="7" customFormat="1"/>
    <row r="84" s="7" customFormat="1"/>
    <row r="85" s="7" customFormat="1"/>
    <row r="121" s="7" customFormat="1"/>
    <row r="122" s="7" customFormat="1"/>
    <row r="123" s="7" customFormat="1"/>
    <row r="159" s="7" customFormat="1"/>
    <row r="160" s="7" customFormat="1"/>
    <row r="161" s="7" customFormat="1"/>
    <row r="197" s="7" customFormat="1"/>
    <row r="198" s="7" customFormat="1"/>
    <row r="199" s="7" customFormat="1"/>
    <row r="235" s="7" customFormat="1"/>
    <row r="236" s="7" customFormat="1"/>
    <row r="237" s="7" customFormat="1"/>
    <row r="273" s="7" customFormat="1"/>
    <row r="274" s="7" customFormat="1"/>
    <row r="275" s="7" customFormat="1"/>
    <row r="311" s="7" customFormat="1"/>
    <row r="312" s="7" customFormat="1"/>
    <row r="313" s="7" customFormat="1"/>
    <row r="349" s="7" customFormat="1"/>
    <row r="350" s="7" customFormat="1"/>
    <row r="351" s="7" customFormat="1"/>
    <row r="387" s="7" customFormat="1"/>
    <row r="388" s="7" customFormat="1"/>
    <row r="389" s="7" customFormat="1"/>
    <row r="425" s="7" customFormat="1"/>
    <row r="426" s="7" customFormat="1"/>
    <row r="427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26"/>
  <sheetViews>
    <sheetView view="pageBreakPreview" zoomScaleNormal="6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62.25" customHeight="1">
      <c r="A5" s="16" t="s">
        <v>23</v>
      </c>
      <c r="B5" s="42" t="s">
        <v>44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C16+C34</f>
        <v>1558808.15</v>
      </c>
      <c r="D15" s="26">
        <f>C15</f>
        <v>1558808.15</v>
      </c>
    </row>
    <row r="16" spans="1:4" s="8" customFormat="1" ht="24">
      <c r="A16" s="24" t="s">
        <v>19</v>
      </c>
      <c r="B16" s="22">
        <v>2000</v>
      </c>
      <c r="C16" s="26">
        <f>C17+C32</f>
        <v>1483808.15</v>
      </c>
      <c r="D16" s="26">
        <f t="shared" ref="D16:D36" si="0">C16</f>
        <v>1483808.15</v>
      </c>
    </row>
    <row r="17" spans="1:4" s="10" customFormat="1">
      <c r="A17" s="21" t="s">
        <v>5</v>
      </c>
      <c r="B17" s="22">
        <v>2200</v>
      </c>
      <c r="C17" s="26">
        <f>C18+C19+C20+C21+C22+C23+C25+C26+C24</f>
        <v>1483808.15</v>
      </c>
      <c r="D17" s="26">
        <f t="shared" si="0"/>
        <v>1483808.15</v>
      </c>
    </row>
    <row r="18" spans="1:4" s="11" customFormat="1">
      <c r="A18" s="27" t="s">
        <v>6</v>
      </c>
      <c r="B18" s="35">
        <v>2210</v>
      </c>
      <c r="C18" s="36">
        <f>3120+1760+1379.4+1580.05</f>
        <v>7839.45</v>
      </c>
      <c r="D18" s="36">
        <f t="shared" si="0"/>
        <v>7839.45</v>
      </c>
    </row>
    <row r="19" spans="1:4" s="7" customFormat="1">
      <c r="A19" s="27" t="s">
        <v>35</v>
      </c>
      <c r="B19" s="35">
        <v>2210</v>
      </c>
      <c r="C19" s="37">
        <f>14997.44+30398.53</f>
        <v>45395.97</v>
      </c>
      <c r="D19" s="37">
        <f t="shared" si="0"/>
        <v>45395.97</v>
      </c>
    </row>
    <row r="20" spans="1:4" s="12" customFormat="1">
      <c r="A20" s="21" t="s">
        <v>37</v>
      </c>
      <c r="B20" s="22">
        <v>2210</v>
      </c>
      <c r="C20" s="37"/>
      <c r="D20" s="37">
        <f t="shared" si="0"/>
        <v>0</v>
      </c>
    </row>
    <row r="21" spans="1:4" s="11" customFormat="1">
      <c r="A21" s="21" t="s">
        <v>7</v>
      </c>
      <c r="B21" s="22">
        <v>2240</v>
      </c>
      <c r="C21" s="26">
        <f>2050+2100+830.94+7368.08+3351.15</f>
        <v>15700.17</v>
      </c>
      <c r="D21" s="26">
        <f t="shared" si="0"/>
        <v>15700.17</v>
      </c>
    </row>
    <row r="22" spans="1:4">
      <c r="A22" s="21" t="s">
        <v>36</v>
      </c>
      <c r="B22" s="22">
        <v>2240</v>
      </c>
      <c r="C22" s="26"/>
      <c r="D22" s="26">
        <f t="shared" si="0"/>
        <v>0</v>
      </c>
    </row>
    <row r="23" spans="1:4">
      <c r="A23" s="21" t="s">
        <v>20</v>
      </c>
      <c r="B23" s="22">
        <v>2240</v>
      </c>
      <c r="C23" s="26"/>
      <c r="D23" s="26">
        <f t="shared" si="0"/>
        <v>0</v>
      </c>
    </row>
    <row r="24" spans="1:4" s="34" customFormat="1" ht="21.75">
      <c r="A24" s="21" t="s">
        <v>63</v>
      </c>
      <c r="B24" s="22">
        <v>2240</v>
      </c>
      <c r="C24" s="26"/>
      <c r="D24" s="26">
        <f t="shared" si="0"/>
        <v>0</v>
      </c>
    </row>
    <row r="25" spans="1:4">
      <c r="A25" s="21" t="s">
        <v>37</v>
      </c>
      <c r="B25" s="22">
        <v>2240</v>
      </c>
      <c r="C25" s="26">
        <f>2706.95+1657.5</f>
        <v>4364.45</v>
      </c>
      <c r="D25" s="26">
        <f t="shared" si="0"/>
        <v>4364.45</v>
      </c>
    </row>
    <row r="26" spans="1:4" s="11" customFormat="1">
      <c r="A26" s="21" t="s">
        <v>16</v>
      </c>
      <c r="B26" s="22">
        <v>2270</v>
      </c>
      <c r="C26" s="26">
        <f>SUM(C27:C31)</f>
        <v>1410508.1099999999</v>
      </c>
      <c r="D26" s="26">
        <f t="shared" si="0"/>
        <v>1410508.1099999999</v>
      </c>
    </row>
    <row r="27" spans="1:4">
      <c r="A27" s="23" t="s">
        <v>9</v>
      </c>
      <c r="B27" s="24">
        <v>2271</v>
      </c>
      <c r="C27" s="25">
        <f>1047956.08+262013.04</f>
        <v>1309969.1199999999</v>
      </c>
      <c r="D27" s="25">
        <f t="shared" si="0"/>
        <v>1309969.1199999999</v>
      </c>
    </row>
    <row r="28" spans="1:4">
      <c r="A28" s="23" t="s">
        <v>10</v>
      </c>
      <c r="B28" s="24">
        <v>2272</v>
      </c>
      <c r="C28" s="25">
        <f>11552.86+1361.66</f>
        <v>12914.52</v>
      </c>
      <c r="D28" s="25">
        <f t="shared" si="0"/>
        <v>12914.52</v>
      </c>
    </row>
    <row r="29" spans="1:4">
      <c r="A29" s="23" t="s">
        <v>11</v>
      </c>
      <c r="B29" s="24">
        <v>2273</v>
      </c>
      <c r="C29" s="25">
        <f>69231.76+11044.06</f>
        <v>80275.819999999992</v>
      </c>
      <c r="D29" s="25">
        <f t="shared" si="0"/>
        <v>80275.819999999992</v>
      </c>
    </row>
    <row r="30" spans="1:4" hidden="1">
      <c r="A30" s="23" t="s">
        <v>12</v>
      </c>
      <c r="B30" s="24">
        <v>2274</v>
      </c>
      <c r="C30" s="25"/>
      <c r="D30" s="25">
        <f t="shared" si="0"/>
        <v>0</v>
      </c>
    </row>
    <row r="31" spans="1:4">
      <c r="A31" s="23" t="s">
        <v>8</v>
      </c>
      <c r="B31" s="24">
        <v>2275</v>
      </c>
      <c r="C31" s="25">
        <f>5247.04+2101.61</f>
        <v>7348.65</v>
      </c>
      <c r="D31" s="25">
        <f t="shared" si="0"/>
        <v>7348.65</v>
      </c>
    </row>
    <row r="32" spans="1:4" s="10" customFormat="1">
      <c r="A32" s="21" t="s">
        <v>13</v>
      </c>
      <c r="B32" s="22">
        <v>2700</v>
      </c>
      <c r="C32" s="25">
        <f>C33</f>
        <v>0</v>
      </c>
      <c r="D32" s="25">
        <f t="shared" si="0"/>
        <v>0</v>
      </c>
    </row>
    <row r="33" spans="1:4">
      <c r="A33" s="23" t="s">
        <v>14</v>
      </c>
      <c r="B33" s="24">
        <v>2730</v>
      </c>
      <c r="C33" s="25"/>
      <c r="D33" s="25">
        <f t="shared" si="0"/>
        <v>0</v>
      </c>
    </row>
    <row r="34" spans="1:4" s="8" customFormat="1">
      <c r="A34" s="22" t="s">
        <v>15</v>
      </c>
      <c r="B34" s="22">
        <v>3000</v>
      </c>
      <c r="C34" s="25">
        <f>C35+C36</f>
        <v>75000</v>
      </c>
      <c r="D34" s="25">
        <f t="shared" si="0"/>
        <v>75000</v>
      </c>
    </row>
    <row r="35" spans="1:4">
      <c r="A35" s="23" t="s">
        <v>17</v>
      </c>
      <c r="B35" s="24">
        <v>3110</v>
      </c>
      <c r="C35" s="25">
        <v>75000</v>
      </c>
      <c r="D35" s="25">
        <f t="shared" si="0"/>
        <v>75000</v>
      </c>
    </row>
    <row r="36" spans="1:4">
      <c r="A36" s="23" t="s">
        <v>18</v>
      </c>
      <c r="B36" s="24">
        <v>3132</v>
      </c>
      <c r="C36" s="25"/>
      <c r="D36" s="25">
        <f t="shared" si="0"/>
        <v>0</v>
      </c>
    </row>
    <row r="37" spans="1:4" ht="15.75">
      <c r="A37" s="4"/>
      <c r="C37" s="18"/>
      <c r="D37" s="18"/>
    </row>
    <row r="44" spans="1:4" s="7" customFormat="1"/>
    <row r="45" spans="1:4" s="7" customFormat="1"/>
    <row r="46" spans="1:4" s="7" customFormat="1"/>
    <row r="82" s="7" customFormat="1"/>
    <row r="83" s="7" customFormat="1"/>
    <row r="84" s="7" customFormat="1"/>
    <row r="120" s="7" customFormat="1"/>
    <row r="121" s="7" customFormat="1"/>
    <row r="122" s="7" customFormat="1"/>
    <row r="158" s="7" customFormat="1"/>
    <row r="159" s="7" customFormat="1"/>
    <row r="160" s="7" customFormat="1"/>
    <row r="196" s="7" customFormat="1"/>
    <row r="197" s="7" customFormat="1"/>
    <row r="198" s="7" customFormat="1"/>
    <row r="234" s="7" customFormat="1"/>
    <row r="235" s="7" customFormat="1"/>
    <row r="236" s="7" customFormat="1"/>
    <row r="272" s="7" customFormat="1"/>
    <row r="273" s="7" customFormat="1"/>
    <row r="274" s="7" customFormat="1"/>
    <row r="310" s="7" customFormat="1"/>
    <row r="311" s="7" customFormat="1"/>
    <row r="312" s="7" customFormat="1"/>
    <row r="348" s="7" customFormat="1"/>
    <row r="349" s="7" customFormat="1"/>
    <row r="350" s="7" customFormat="1"/>
    <row r="386" s="7" customFormat="1"/>
    <row r="387" s="7" customFormat="1"/>
    <row r="388" s="7" customFormat="1"/>
    <row r="424" s="7" customFormat="1"/>
    <row r="425" s="7" customFormat="1"/>
    <row r="426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26"/>
  <sheetViews>
    <sheetView view="pageBreakPreview" zoomScaleNormal="7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68.25" customHeight="1">
      <c r="A5" s="16" t="s">
        <v>23</v>
      </c>
      <c r="B5" s="42" t="s">
        <v>45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C16+C34</f>
        <v>404883.65</v>
      </c>
      <c r="D15" s="26">
        <f>C15</f>
        <v>404883.65</v>
      </c>
    </row>
    <row r="16" spans="1:4" s="8" customFormat="1" ht="24">
      <c r="A16" s="24" t="s">
        <v>19</v>
      </c>
      <c r="B16" s="22">
        <v>2000</v>
      </c>
      <c r="C16" s="26">
        <f>C17+C32</f>
        <v>404883.65</v>
      </c>
      <c r="D16" s="26">
        <f t="shared" ref="D16:D36" si="0">C16</f>
        <v>404883.65</v>
      </c>
    </row>
    <row r="17" spans="1:4" s="10" customFormat="1">
      <c r="A17" s="21" t="s">
        <v>5</v>
      </c>
      <c r="B17" s="22">
        <v>2200</v>
      </c>
      <c r="C17" s="26">
        <f>C18+C19+C20+C21+C22+C23+C25+C26+C24</f>
        <v>404883.65</v>
      </c>
      <c r="D17" s="26">
        <f t="shared" si="0"/>
        <v>404883.65</v>
      </c>
    </row>
    <row r="18" spans="1:4" s="11" customFormat="1">
      <c r="A18" s="27" t="s">
        <v>6</v>
      </c>
      <c r="B18" s="35">
        <v>2210</v>
      </c>
      <c r="C18" s="36">
        <f>390+550+1379.4+1580.05</f>
        <v>3899.45</v>
      </c>
      <c r="D18" s="36">
        <f t="shared" si="0"/>
        <v>3899.45</v>
      </c>
    </row>
    <row r="19" spans="1:4" s="7" customFormat="1">
      <c r="A19" s="27" t="s">
        <v>35</v>
      </c>
      <c r="B19" s="35">
        <v>2210</v>
      </c>
      <c r="C19" s="37"/>
      <c r="D19" s="37">
        <f t="shared" si="0"/>
        <v>0</v>
      </c>
    </row>
    <row r="20" spans="1:4" s="12" customFormat="1">
      <c r="A20" s="21" t="s">
        <v>37</v>
      </c>
      <c r="B20" s="22">
        <v>2210</v>
      </c>
      <c r="C20" s="37"/>
      <c r="D20" s="37">
        <f t="shared" si="0"/>
        <v>0</v>
      </c>
    </row>
    <row r="21" spans="1:4" s="11" customFormat="1">
      <c r="A21" s="21" t="s">
        <v>7</v>
      </c>
      <c r="B21" s="22">
        <v>2240</v>
      </c>
      <c r="C21" s="26">
        <f>3388.16+6382.05</f>
        <v>9770.2099999999991</v>
      </c>
      <c r="D21" s="26">
        <f t="shared" si="0"/>
        <v>9770.2099999999991</v>
      </c>
    </row>
    <row r="22" spans="1:4">
      <c r="A22" s="21" t="s">
        <v>36</v>
      </c>
      <c r="B22" s="22">
        <v>2240</v>
      </c>
      <c r="C22" s="26"/>
      <c r="D22" s="26">
        <f t="shared" si="0"/>
        <v>0</v>
      </c>
    </row>
    <row r="23" spans="1:4">
      <c r="A23" s="21" t="s">
        <v>20</v>
      </c>
      <c r="B23" s="22">
        <v>2240</v>
      </c>
      <c r="C23" s="26"/>
      <c r="D23" s="26">
        <f t="shared" si="0"/>
        <v>0</v>
      </c>
    </row>
    <row r="24" spans="1:4" s="34" customFormat="1" ht="21.75">
      <c r="A24" s="21" t="s">
        <v>63</v>
      </c>
      <c r="B24" s="22">
        <v>2240</v>
      </c>
      <c r="C24" s="26"/>
      <c r="D24" s="26">
        <f t="shared" si="0"/>
        <v>0</v>
      </c>
    </row>
    <row r="25" spans="1:4">
      <c r="A25" s="21" t="s">
        <v>37</v>
      </c>
      <c r="B25" s="22">
        <v>2240</v>
      </c>
      <c r="C25" s="26">
        <f>2759.9+1007.5</f>
        <v>3767.4</v>
      </c>
      <c r="D25" s="26">
        <f t="shared" si="0"/>
        <v>3767.4</v>
      </c>
    </row>
    <row r="26" spans="1:4" s="11" customFormat="1">
      <c r="A26" s="21" t="s">
        <v>16</v>
      </c>
      <c r="B26" s="22">
        <v>2270</v>
      </c>
      <c r="C26" s="26">
        <f>SUM(C27:C31)</f>
        <v>387446.59</v>
      </c>
      <c r="D26" s="26">
        <f t="shared" si="0"/>
        <v>387446.59</v>
      </c>
    </row>
    <row r="27" spans="1:4">
      <c r="A27" s="23" t="s">
        <v>9</v>
      </c>
      <c r="B27" s="24">
        <v>2271</v>
      </c>
      <c r="C27" s="25">
        <v>0</v>
      </c>
      <c r="D27" s="25">
        <f t="shared" si="0"/>
        <v>0</v>
      </c>
    </row>
    <row r="28" spans="1:4">
      <c r="A28" s="23" t="s">
        <v>10</v>
      </c>
      <c r="B28" s="24">
        <v>2272</v>
      </c>
      <c r="C28" s="25">
        <f>6070.75+151.84</f>
        <v>6222.59</v>
      </c>
      <c r="D28" s="25">
        <f t="shared" si="0"/>
        <v>6222.59</v>
      </c>
    </row>
    <row r="29" spans="1:4">
      <c r="A29" s="23" t="s">
        <v>11</v>
      </c>
      <c r="B29" s="24">
        <v>2273</v>
      </c>
      <c r="C29" s="25">
        <f>347211.49+34012.51</f>
        <v>381224</v>
      </c>
      <c r="D29" s="25">
        <f t="shared" si="0"/>
        <v>381224</v>
      </c>
    </row>
    <row r="30" spans="1:4" hidden="1">
      <c r="A30" s="23" t="s">
        <v>12</v>
      </c>
      <c r="B30" s="24">
        <v>2274</v>
      </c>
      <c r="C30" s="25"/>
      <c r="D30" s="25">
        <f t="shared" si="0"/>
        <v>0</v>
      </c>
    </row>
    <row r="31" spans="1:4">
      <c r="A31" s="23" t="s">
        <v>8</v>
      </c>
      <c r="B31" s="24">
        <v>2275</v>
      </c>
      <c r="C31" s="25">
        <f>0</f>
        <v>0</v>
      </c>
      <c r="D31" s="25">
        <f t="shared" si="0"/>
        <v>0</v>
      </c>
    </row>
    <row r="32" spans="1:4" s="10" customFormat="1">
      <c r="A32" s="21" t="s">
        <v>13</v>
      </c>
      <c r="B32" s="22">
        <v>2700</v>
      </c>
      <c r="C32" s="25">
        <f>C33</f>
        <v>0</v>
      </c>
      <c r="D32" s="25">
        <f t="shared" si="0"/>
        <v>0</v>
      </c>
    </row>
    <row r="33" spans="1:4">
      <c r="A33" s="23" t="s">
        <v>14</v>
      </c>
      <c r="B33" s="24">
        <v>2730</v>
      </c>
      <c r="C33" s="25"/>
      <c r="D33" s="25">
        <f t="shared" si="0"/>
        <v>0</v>
      </c>
    </row>
    <row r="34" spans="1:4" s="8" customFormat="1">
      <c r="A34" s="22" t="s">
        <v>15</v>
      </c>
      <c r="B34" s="22">
        <v>3000</v>
      </c>
      <c r="C34" s="25">
        <f>C35+C36</f>
        <v>0</v>
      </c>
      <c r="D34" s="25">
        <f t="shared" si="0"/>
        <v>0</v>
      </c>
    </row>
    <row r="35" spans="1:4">
      <c r="A35" s="23" t="s">
        <v>17</v>
      </c>
      <c r="B35" s="24">
        <v>3110</v>
      </c>
      <c r="C35" s="25"/>
      <c r="D35" s="25">
        <f t="shared" si="0"/>
        <v>0</v>
      </c>
    </row>
    <row r="36" spans="1:4">
      <c r="A36" s="23" t="s">
        <v>18</v>
      </c>
      <c r="B36" s="24">
        <v>3132</v>
      </c>
      <c r="C36" s="25"/>
      <c r="D36" s="25">
        <f t="shared" si="0"/>
        <v>0</v>
      </c>
    </row>
    <row r="37" spans="1:4" ht="15.75">
      <c r="A37" s="4"/>
      <c r="C37" s="18"/>
      <c r="D37" s="18"/>
    </row>
    <row r="38" spans="1:4" ht="15" customHeight="1">
      <c r="C38" s="18"/>
      <c r="D38" s="18"/>
    </row>
    <row r="39" spans="1:4" ht="15" customHeight="1">
      <c r="C39" s="18"/>
      <c r="D39" s="18"/>
    </row>
    <row r="44" spans="1:4" s="7" customFormat="1"/>
    <row r="45" spans="1:4" s="7" customFormat="1"/>
    <row r="46" spans="1:4" s="7" customFormat="1"/>
    <row r="82" s="7" customFormat="1"/>
    <row r="83" s="7" customFormat="1"/>
    <row r="84" s="7" customFormat="1"/>
    <row r="120" s="7" customFormat="1"/>
    <row r="121" s="7" customFormat="1"/>
    <row r="122" s="7" customFormat="1"/>
    <row r="158" s="7" customFormat="1"/>
    <row r="159" s="7" customFormat="1"/>
    <row r="160" s="7" customFormat="1"/>
    <row r="196" s="7" customFormat="1"/>
    <row r="197" s="7" customFormat="1"/>
    <row r="198" s="7" customFormat="1"/>
    <row r="234" s="7" customFormat="1"/>
    <row r="235" s="7" customFormat="1"/>
    <row r="236" s="7" customFormat="1"/>
    <row r="272" s="7" customFormat="1"/>
    <row r="273" s="7" customFormat="1"/>
    <row r="274" s="7" customFormat="1"/>
    <row r="310" s="7" customFormat="1"/>
    <row r="311" s="7" customFormat="1"/>
    <row r="312" s="7" customFormat="1"/>
    <row r="348" s="7" customFormat="1"/>
    <row r="349" s="7" customFormat="1"/>
    <row r="350" s="7" customFormat="1"/>
    <row r="386" s="7" customFormat="1"/>
    <row r="387" s="7" customFormat="1"/>
    <row r="388" s="7" customFormat="1"/>
    <row r="424" s="7" customFormat="1"/>
    <row r="425" s="7" customFormat="1"/>
    <row r="426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26"/>
  <sheetViews>
    <sheetView view="pageBreakPreview" zoomScaleNormal="70" zoomScaleSheetLayoutView="100" workbookViewId="0">
      <selection activeCell="E1" sqref="E1:G1048576"/>
    </sheetView>
  </sheetViews>
  <sheetFormatPr defaultColWidth="14.390625" defaultRowHeight="15" customHeight="1"/>
  <cols>
    <col min="1" max="1" width="57.84375" style="14" customWidth="1"/>
    <col min="2" max="2" width="10.89453125" style="14" customWidth="1"/>
    <col min="3" max="4" width="17.484375" style="14" customWidth="1"/>
    <col min="5" max="16384" width="14.390625" style="14"/>
  </cols>
  <sheetData>
    <row r="1" spans="1:4">
      <c r="A1" s="45" t="s">
        <v>0</v>
      </c>
      <c r="B1" s="44"/>
      <c r="C1" s="44"/>
      <c r="D1" s="44"/>
    </row>
    <row r="2" spans="1:4">
      <c r="A2" s="45" t="s">
        <v>32</v>
      </c>
      <c r="B2" s="44"/>
      <c r="C2" s="44"/>
      <c r="D2" s="44"/>
    </row>
    <row r="3" spans="1:4">
      <c r="A3" s="45" t="s">
        <v>62</v>
      </c>
      <c r="B3" s="44"/>
      <c r="C3" s="44"/>
      <c r="D3" s="44"/>
    </row>
    <row r="4" spans="1:4">
      <c r="A4" s="1"/>
      <c r="B4" s="1"/>
      <c r="C4" s="2"/>
    </row>
    <row r="5" spans="1:4" ht="46.5" customHeight="1">
      <c r="A5" s="16" t="s">
        <v>23</v>
      </c>
      <c r="B5" s="42" t="s">
        <v>46</v>
      </c>
      <c r="C5" s="42"/>
      <c r="D5" s="42"/>
    </row>
    <row r="6" spans="1:4">
      <c r="A6" s="16" t="s">
        <v>24</v>
      </c>
      <c r="B6" s="15" t="s">
        <v>25</v>
      </c>
    </row>
    <row r="7" spans="1:4">
      <c r="A7" s="16" t="s">
        <v>26</v>
      </c>
      <c r="B7" s="15" t="s">
        <v>27</v>
      </c>
    </row>
    <row r="8" spans="1:4" ht="24">
      <c r="A8" s="1" t="s">
        <v>28</v>
      </c>
      <c r="B8" s="15" t="s">
        <v>29</v>
      </c>
    </row>
    <row r="9" spans="1:4" ht="34.5">
      <c r="A9" s="1" t="s">
        <v>30</v>
      </c>
      <c r="B9" s="46" t="s">
        <v>31</v>
      </c>
      <c r="C9" s="46"/>
      <c r="D9" s="46"/>
    </row>
    <row r="10" spans="1:4">
      <c r="A10" s="3" t="s">
        <v>21</v>
      </c>
    </row>
    <row r="11" spans="1:4">
      <c r="A11" s="3" t="s">
        <v>1</v>
      </c>
    </row>
    <row r="12" spans="1:4">
      <c r="A12" s="43"/>
      <c r="B12" s="44"/>
      <c r="C12" s="44"/>
      <c r="D12" s="44"/>
    </row>
    <row r="13" spans="1:4" ht="31.5">
      <c r="A13" s="24" t="s">
        <v>2</v>
      </c>
      <c r="B13" s="24" t="s">
        <v>22</v>
      </c>
      <c r="C13" s="24" t="s">
        <v>33</v>
      </c>
      <c r="D13" s="24" t="s">
        <v>34</v>
      </c>
    </row>
    <row r="14" spans="1:4">
      <c r="A14" s="22">
        <v>1</v>
      </c>
      <c r="B14" s="22">
        <v>2</v>
      </c>
      <c r="C14" s="22">
        <v>3</v>
      </c>
      <c r="D14" s="22">
        <v>4</v>
      </c>
    </row>
    <row r="15" spans="1:4" s="9" customFormat="1">
      <c r="A15" s="22" t="s">
        <v>3</v>
      </c>
      <c r="B15" s="22" t="s">
        <v>4</v>
      </c>
      <c r="C15" s="26">
        <f>C16+C34</f>
        <v>525810.21</v>
      </c>
      <c r="D15" s="26">
        <f>C15</f>
        <v>525810.21</v>
      </c>
    </row>
    <row r="16" spans="1:4" s="8" customFormat="1" ht="24">
      <c r="A16" s="24" t="s">
        <v>19</v>
      </c>
      <c r="B16" s="22">
        <v>2000</v>
      </c>
      <c r="C16" s="26">
        <f>C17+C32</f>
        <v>525810.21</v>
      </c>
      <c r="D16" s="26">
        <f t="shared" ref="D16:D36" si="0">C16</f>
        <v>525810.21</v>
      </c>
    </row>
    <row r="17" spans="1:4" s="10" customFormat="1">
      <c r="A17" s="21" t="s">
        <v>5</v>
      </c>
      <c r="B17" s="22">
        <v>2200</v>
      </c>
      <c r="C17" s="26">
        <f>C18+C19+C20+C21+C22+C23+C25+C26+C24</f>
        <v>525810.21</v>
      </c>
      <c r="D17" s="26">
        <f t="shared" si="0"/>
        <v>525810.21</v>
      </c>
    </row>
    <row r="18" spans="1:4" s="11" customFormat="1">
      <c r="A18" s="27" t="s">
        <v>6</v>
      </c>
      <c r="B18" s="35">
        <v>2210</v>
      </c>
      <c r="C18" s="36">
        <f>1560+1760+1379.4+1580.05</f>
        <v>6279.45</v>
      </c>
      <c r="D18" s="36">
        <f t="shared" si="0"/>
        <v>6279.45</v>
      </c>
    </row>
    <row r="19" spans="1:4" s="7" customFormat="1">
      <c r="A19" s="27" t="s">
        <v>35</v>
      </c>
      <c r="B19" s="35">
        <v>2210</v>
      </c>
      <c r="C19" s="37"/>
      <c r="D19" s="37">
        <f t="shared" si="0"/>
        <v>0</v>
      </c>
    </row>
    <row r="20" spans="1:4" s="12" customFormat="1">
      <c r="A20" s="21" t="s">
        <v>37</v>
      </c>
      <c r="B20" s="22">
        <v>2210</v>
      </c>
      <c r="C20" s="37"/>
      <c r="D20" s="37">
        <f t="shared" si="0"/>
        <v>0</v>
      </c>
    </row>
    <row r="21" spans="1:4" s="11" customFormat="1">
      <c r="A21" s="21" t="s">
        <v>7</v>
      </c>
      <c r="B21" s="22">
        <v>2240</v>
      </c>
      <c r="C21" s="26">
        <f>1750+975+1149.96+4582.05+3351.15</f>
        <v>11808.16</v>
      </c>
      <c r="D21" s="26">
        <f t="shared" si="0"/>
        <v>11808.16</v>
      </c>
    </row>
    <row r="22" spans="1:4">
      <c r="A22" s="21" t="s">
        <v>36</v>
      </c>
      <c r="B22" s="22">
        <v>2240</v>
      </c>
      <c r="C22" s="26"/>
      <c r="D22" s="26">
        <f t="shared" si="0"/>
        <v>0</v>
      </c>
    </row>
    <row r="23" spans="1:4">
      <c r="A23" s="21" t="s">
        <v>20</v>
      </c>
      <c r="B23" s="22">
        <v>2240</v>
      </c>
      <c r="C23" s="26">
        <f>37242.65</f>
        <v>37242.65</v>
      </c>
      <c r="D23" s="26">
        <f t="shared" si="0"/>
        <v>37242.65</v>
      </c>
    </row>
    <row r="24" spans="1:4" s="34" customFormat="1" ht="21.75">
      <c r="A24" s="21" t="s">
        <v>63</v>
      </c>
      <c r="B24" s="22">
        <v>2240</v>
      </c>
      <c r="C24" s="26">
        <f>6698.56</f>
        <v>6698.56</v>
      </c>
      <c r="D24" s="26">
        <f t="shared" si="0"/>
        <v>6698.56</v>
      </c>
    </row>
    <row r="25" spans="1:4">
      <c r="A25" s="21" t="s">
        <v>37</v>
      </c>
      <c r="B25" s="22">
        <v>2240</v>
      </c>
      <c r="C25" s="26">
        <f>3135.88+9999+585+3333</f>
        <v>17052.88</v>
      </c>
      <c r="D25" s="26">
        <f t="shared" si="0"/>
        <v>17052.88</v>
      </c>
    </row>
    <row r="26" spans="1:4" s="11" customFormat="1">
      <c r="A26" s="21" t="s">
        <v>16</v>
      </c>
      <c r="B26" s="22">
        <v>2270</v>
      </c>
      <c r="C26" s="26">
        <f>SUM(C27:C31)</f>
        <v>446728.50999999995</v>
      </c>
      <c r="D26" s="26">
        <f t="shared" si="0"/>
        <v>446728.50999999995</v>
      </c>
    </row>
    <row r="27" spans="1:4">
      <c r="A27" s="23" t="s">
        <v>9</v>
      </c>
      <c r="B27" s="24">
        <v>2271</v>
      </c>
      <c r="C27" s="25">
        <f>309357.04+62077.68</f>
        <v>371434.72</v>
      </c>
      <c r="D27" s="25">
        <f t="shared" si="0"/>
        <v>371434.72</v>
      </c>
    </row>
    <row r="28" spans="1:4">
      <c r="A28" s="23" t="s">
        <v>10</v>
      </c>
      <c r="B28" s="24">
        <v>2272</v>
      </c>
      <c r="C28" s="25">
        <f>6184.22+737.57</f>
        <v>6921.79</v>
      </c>
      <c r="D28" s="25">
        <f t="shared" si="0"/>
        <v>6921.79</v>
      </c>
    </row>
    <row r="29" spans="1:4">
      <c r="A29" s="23" t="s">
        <v>11</v>
      </c>
      <c r="B29" s="24">
        <v>2273</v>
      </c>
      <c r="C29" s="25">
        <f>53390.56+10924.02</f>
        <v>64314.58</v>
      </c>
      <c r="D29" s="25">
        <f t="shared" si="0"/>
        <v>64314.58</v>
      </c>
    </row>
    <row r="30" spans="1:4" hidden="1">
      <c r="A30" s="23" t="s">
        <v>12</v>
      </c>
      <c r="B30" s="24">
        <v>2274</v>
      </c>
      <c r="C30" s="25"/>
      <c r="D30" s="25">
        <f t="shared" si="0"/>
        <v>0</v>
      </c>
    </row>
    <row r="31" spans="1:4">
      <c r="A31" s="23" t="s">
        <v>8</v>
      </c>
      <c r="B31" s="24">
        <v>2275</v>
      </c>
      <c r="C31" s="25">
        <f>2836.24+1221.18</f>
        <v>4057.42</v>
      </c>
      <c r="D31" s="25">
        <f t="shared" si="0"/>
        <v>4057.42</v>
      </c>
    </row>
    <row r="32" spans="1:4" s="10" customFormat="1">
      <c r="A32" s="21" t="s">
        <v>13</v>
      </c>
      <c r="B32" s="22">
        <v>2700</v>
      </c>
      <c r="C32" s="25">
        <f>C33</f>
        <v>0</v>
      </c>
      <c r="D32" s="25">
        <f t="shared" si="0"/>
        <v>0</v>
      </c>
    </row>
    <row r="33" spans="1:4">
      <c r="A33" s="23" t="s">
        <v>14</v>
      </c>
      <c r="B33" s="24">
        <v>2730</v>
      </c>
      <c r="C33" s="25"/>
      <c r="D33" s="25">
        <f t="shared" si="0"/>
        <v>0</v>
      </c>
    </row>
    <row r="34" spans="1:4" s="8" customFormat="1">
      <c r="A34" s="22" t="s">
        <v>15</v>
      </c>
      <c r="B34" s="22">
        <v>3000</v>
      </c>
      <c r="C34" s="25">
        <f>C35+C36</f>
        <v>0</v>
      </c>
      <c r="D34" s="25">
        <f t="shared" si="0"/>
        <v>0</v>
      </c>
    </row>
    <row r="35" spans="1:4">
      <c r="A35" s="23" t="s">
        <v>17</v>
      </c>
      <c r="B35" s="24">
        <v>3110</v>
      </c>
      <c r="C35" s="25"/>
      <c r="D35" s="25">
        <f t="shared" si="0"/>
        <v>0</v>
      </c>
    </row>
    <row r="36" spans="1:4">
      <c r="A36" s="23" t="s">
        <v>18</v>
      </c>
      <c r="B36" s="24">
        <v>3132</v>
      </c>
      <c r="C36" s="25"/>
      <c r="D36" s="25">
        <f t="shared" si="0"/>
        <v>0</v>
      </c>
    </row>
    <row r="37" spans="1:4" ht="15.75">
      <c r="A37" s="4"/>
      <c r="C37" s="18"/>
      <c r="D37" s="18"/>
    </row>
    <row r="38" spans="1:4" ht="15" customHeight="1">
      <c r="C38" s="18"/>
      <c r="D38" s="18"/>
    </row>
    <row r="39" spans="1:4" ht="15" customHeight="1">
      <c r="C39" s="18"/>
      <c r="D39" s="18"/>
    </row>
    <row r="40" spans="1:4" ht="15" customHeight="1">
      <c r="C40" s="18"/>
      <c r="D40" s="18"/>
    </row>
    <row r="44" spans="1:4" s="7" customFormat="1"/>
    <row r="45" spans="1:4" s="7" customFormat="1"/>
    <row r="46" spans="1:4" s="7" customFormat="1"/>
    <row r="82" s="7" customFormat="1"/>
    <row r="83" s="7" customFormat="1"/>
    <row r="84" s="7" customFormat="1"/>
    <row r="120" s="7" customFormat="1"/>
    <row r="121" s="7" customFormat="1"/>
    <row r="122" s="7" customFormat="1"/>
    <row r="158" s="7" customFormat="1"/>
    <row r="159" s="7" customFormat="1"/>
    <row r="160" s="7" customFormat="1"/>
    <row r="196" s="7" customFormat="1"/>
    <row r="197" s="7" customFormat="1"/>
    <row r="198" s="7" customFormat="1"/>
    <row r="234" s="7" customFormat="1"/>
    <row r="235" s="7" customFormat="1"/>
    <row r="236" s="7" customFormat="1"/>
    <row r="272" s="7" customFormat="1"/>
    <row r="273" s="7" customFormat="1"/>
    <row r="274" s="7" customFormat="1"/>
    <row r="310" s="7" customFormat="1"/>
    <row r="311" s="7" customFormat="1"/>
    <row r="312" s="7" customFormat="1"/>
    <row r="348" s="7" customFormat="1"/>
    <row r="349" s="7" customFormat="1"/>
    <row r="350" s="7" customFormat="1"/>
    <row r="386" s="7" customFormat="1"/>
    <row r="387" s="7" customFormat="1"/>
    <row r="388" s="7" customFormat="1"/>
    <row r="424" s="7" customFormat="1"/>
    <row r="425" s="7" customFormat="1"/>
    <row r="426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4</vt:lpstr>
      <vt:lpstr>12</vt:lpstr>
      <vt:lpstr>18</vt:lpstr>
      <vt:lpstr>19</vt:lpstr>
      <vt:lpstr>34</vt:lpstr>
      <vt:lpstr>42</vt:lpstr>
      <vt:lpstr>52</vt:lpstr>
      <vt:lpstr>53</vt:lpstr>
      <vt:lpstr>55</vt:lpstr>
      <vt:lpstr>60</vt:lpstr>
      <vt:lpstr>63</vt:lpstr>
      <vt:lpstr>64</vt:lpstr>
      <vt:lpstr>65</vt:lpstr>
      <vt:lpstr>77</vt:lpstr>
      <vt:lpstr>93</vt:lpstr>
      <vt:lpstr>95</vt:lpstr>
      <vt:lpstr>101</vt:lpstr>
      <vt:lpstr>111</vt:lpstr>
      <vt:lpstr>Вибір</vt:lpstr>
      <vt:lpstr>Мрія</vt:lpstr>
      <vt:lpstr>Перспектива</vt:lpstr>
      <vt:lpstr>Прогрес</vt:lpstr>
      <vt:lpstr>Світанок</vt:lpstr>
      <vt:lpstr>Натхнення</vt:lpstr>
      <vt:lpstr>101!Область_печати</vt:lpstr>
      <vt:lpstr>111!Область_печати</vt:lpstr>
      <vt:lpstr>12!Область_печати</vt:lpstr>
      <vt:lpstr>18!Область_печати</vt:lpstr>
      <vt:lpstr>19!Область_печати</vt:lpstr>
      <vt:lpstr>34!Область_печати</vt:lpstr>
      <vt:lpstr>4!Область_печати</vt:lpstr>
      <vt:lpstr>42!Область_печати</vt:lpstr>
      <vt:lpstr>52!Область_печати</vt:lpstr>
      <vt:lpstr>53!Область_печати</vt:lpstr>
      <vt:lpstr>55!Область_печати</vt:lpstr>
      <vt:lpstr>60!Область_печати</vt:lpstr>
      <vt:lpstr>63!Область_печати</vt:lpstr>
      <vt:lpstr>64!Область_печати</vt:lpstr>
      <vt:lpstr>65!Область_печати</vt:lpstr>
      <vt:lpstr>77!Область_печати</vt:lpstr>
      <vt:lpstr>93!Область_печати</vt:lpstr>
      <vt:lpstr>95!Область_печати</vt:lpstr>
      <vt:lpstr>Вибір!Область_печати</vt:lpstr>
      <vt:lpstr>Мрія!Область_печати</vt:lpstr>
      <vt:lpstr>Натхнення!Область_печати</vt:lpstr>
      <vt:lpstr>Перспектива!Область_печати</vt:lpstr>
      <vt:lpstr>Прогрес!Область_печати</vt:lpstr>
      <vt:lpstr>Світанок!Область_печати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abcde</cp:lastModifiedBy>
  <cp:lastPrinted>2022-10-17T09:45:55Z</cp:lastPrinted>
  <dcterms:created xsi:type="dcterms:W3CDTF">2018-06-18T10:20:14Z</dcterms:created>
  <dcterms:modified xsi:type="dcterms:W3CDTF">2023-02-09T12:28:07Z</dcterms:modified>
</cp:coreProperties>
</file>