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 tabRatio="786" activeTab="23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  <sheet name="Натхнення" sheetId="34" r:id="rId24"/>
  </sheets>
  <definedNames>
    <definedName name="_xlnm.Print_Area" localSheetId="16">'101'!$A$1:$D$35</definedName>
    <definedName name="_xlnm.Print_Area" localSheetId="17">'111'!$A$1:$D$35</definedName>
    <definedName name="_xlnm.Print_Area" localSheetId="1">'12'!$A$1:$D$35</definedName>
    <definedName name="_xlnm.Print_Area" localSheetId="2">'18'!$A$1:$D$35</definedName>
    <definedName name="_xlnm.Print_Area" localSheetId="3">'19'!$A$1:$D$35</definedName>
    <definedName name="_xlnm.Print_Area" localSheetId="4">'34'!$A$1:$D$35</definedName>
    <definedName name="_xlnm.Print_Area" localSheetId="0">'4'!$A$1:$D$35</definedName>
    <definedName name="_xlnm.Print_Area" localSheetId="5">'42'!$A$1:$D$35</definedName>
    <definedName name="_xlnm.Print_Area" localSheetId="6">'52'!$A$1:$D$35</definedName>
    <definedName name="_xlnm.Print_Area" localSheetId="7">'53'!$A$1:$D$35</definedName>
    <definedName name="_xlnm.Print_Area" localSheetId="8">'55'!$A$1:$D$35</definedName>
    <definedName name="_xlnm.Print_Area" localSheetId="9">'60'!$A$1:$D$35</definedName>
    <definedName name="_xlnm.Print_Area" localSheetId="10">'63'!$A$1:$D$35</definedName>
    <definedName name="_xlnm.Print_Area" localSheetId="11">'64'!$A$1:$D$35</definedName>
    <definedName name="_xlnm.Print_Area" localSheetId="12">'65'!$A$1:$D$35</definedName>
    <definedName name="_xlnm.Print_Area" localSheetId="13">'77'!$A$1:$D$35</definedName>
    <definedName name="_xlnm.Print_Area" localSheetId="14">'93'!$A$1:$D$35</definedName>
    <definedName name="_xlnm.Print_Area" localSheetId="15">'95'!$A$1:$D$35</definedName>
    <definedName name="_xlnm.Print_Area" localSheetId="18">Вибір!$A$1:$D$35</definedName>
    <definedName name="_xlnm.Print_Area" localSheetId="19">Мрія!$A$1:$D$35</definedName>
    <definedName name="_xlnm.Print_Area" localSheetId="23">Натхнення!$A$1:$D$35</definedName>
    <definedName name="_xlnm.Print_Area" localSheetId="20">Перспектива!$A$1:$D$35</definedName>
    <definedName name="_xlnm.Print_Area" localSheetId="21">Прогрес!$A$1:$D$35</definedName>
    <definedName name="_xlnm.Print_Area" localSheetId="22">Світанок!$A$1:$D$35</definedName>
  </definedNames>
  <calcPr calcId="125725" refMode="R1C1"/>
</workbook>
</file>

<file path=xl/calcChain.xml><?xml version="1.0" encoding="utf-8"?>
<calcChain xmlns="http://schemas.openxmlformats.org/spreadsheetml/2006/main">
  <c r="C21" i="10"/>
  <c r="C21" i="30"/>
  <c r="C21" i="34"/>
  <c r="C22" i="13" l="1"/>
  <c r="C21" i="27"/>
  <c r="C21" i="29"/>
  <c r="C21" i="28"/>
  <c r="C21" i="18"/>
  <c r="C21" i="17"/>
  <c r="C21" i="16"/>
  <c r="C21" i="15"/>
  <c r="C21" i="14"/>
  <c r="C21" i="13"/>
  <c r="C21" i="12"/>
  <c r="C21" i="11"/>
  <c r="C21" i="8"/>
  <c r="C21" i="9"/>
  <c r="C21" i="7"/>
  <c r="C21" i="6"/>
  <c r="C21" i="5" l="1"/>
  <c r="C21" i="4"/>
  <c r="C21" i="26"/>
  <c r="C21" i="3"/>
  <c r="C21" i="2"/>
  <c r="C21" i="1"/>
  <c r="C30" i="26" l="1"/>
  <c r="C30" i="30"/>
  <c r="C30" i="29"/>
  <c r="C30" i="28"/>
  <c r="C30" i="27"/>
  <c r="C30" i="17"/>
  <c r="C30" i="16"/>
  <c r="C30" i="15"/>
  <c r="C30" i="14"/>
  <c r="C30" i="13"/>
  <c r="C30" i="10"/>
  <c r="C30" i="12"/>
  <c r="C30" i="11"/>
  <c r="C30" i="8"/>
  <c r="C30" i="9"/>
  <c r="C30" i="6"/>
  <c r="C30" i="5"/>
  <c r="C30" i="18"/>
  <c r="C30" i="34"/>
  <c r="C30" i="4"/>
  <c r="C30" i="3"/>
  <c r="C30" i="2"/>
  <c r="C30" i="1"/>
  <c r="C29" i="29"/>
  <c r="C28" i="30"/>
  <c r="C28" i="29"/>
  <c r="C28" i="28"/>
  <c r="C28" i="27"/>
  <c r="C28" i="17"/>
  <c r="C28" i="16"/>
  <c r="C28" i="15"/>
  <c r="C28" i="14"/>
  <c r="C28" i="13"/>
  <c r="C28" i="10"/>
  <c r="C28" i="12"/>
  <c r="C28" i="11"/>
  <c r="C28" i="8"/>
  <c r="C28" i="9"/>
  <c r="C28" i="7"/>
  <c r="C28" i="6"/>
  <c r="C28" i="5"/>
  <c r="C28" i="18"/>
  <c r="C28" i="34"/>
  <c r="C28" i="4"/>
  <c r="C28" i="26"/>
  <c r="C28" i="3"/>
  <c r="C28" i="2"/>
  <c r="C28" i="1"/>
  <c r="C27" i="17"/>
  <c r="C27" i="16"/>
  <c r="C27" i="15"/>
  <c r="C27" i="14"/>
  <c r="C27" i="13"/>
  <c r="C27" i="10"/>
  <c r="C27" i="12"/>
  <c r="C27" i="11"/>
  <c r="C27" i="8"/>
  <c r="C27" i="9"/>
  <c r="C27" i="7"/>
  <c r="C27" i="27"/>
  <c r="C27" i="30"/>
  <c r="C27" i="28"/>
  <c r="C27" i="6"/>
  <c r="C27" i="5"/>
  <c r="C27" i="18"/>
  <c r="C27" i="34"/>
  <c r="C27" i="4"/>
  <c r="C27" i="26"/>
  <c r="C27" i="3"/>
  <c r="C27" i="2"/>
  <c r="C27" i="1"/>
  <c r="C26" i="34"/>
  <c r="C26" i="30"/>
  <c r="C26" i="29"/>
  <c r="C26" i="28"/>
  <c r="C26" i="27"/>
  <c r="C26" i="17"/>
  <c r="C26" i="16"/>
  <c r="C26" i="15"/>
  <c r="C26" i="14"/>
  <c r="C26" i="13"/>
  <c r="C26" i="10"/>
  <c r="C26" i="12"/>
  <c r="C26" i="11"/>
  <c r="C26" i="8"/>
  <c r="C26" i="9"/>
  <c r="C26" i="6"/>
  <c r="C26" i="5"/>
  <c r="C26" i="18"/>
  <c r="C26" i="4"/>
  <c r="C26" i="26"/>
  <c r="C26" i="3"/>
  <c r="C26" i="2"/>
  <c r="C26" i="1"/>
  <c r="C24" i="26" l="1"/>
  <c r="C24" i="28"/>
  <c r="C24" i="27"/>
  <c r="C24" i="29"/>
  <c r="C24" i="17"/>
  <c r="C24" i="16"/>
  <c r="C24" i="15"/>
  <c r="C24" i="14"/>
  <c r="C24" i="13"/>
  <c r="C24" i="10"/>
  <c r="C24" i="30"/>
  <c r="C24" i="12"/>
  <c r="C24" i="11"/>
  <c r="C24" i="8"/>
  <c r="C24" i="9"/>
  <c r="C24" i="7"/>
  <c r="C24" i="6"/>
  <c r="C24" i="5"/>
  <c r="C24" i="18"/>
  <c r="C24" i="34"/>
  <c r="C24" i="4"/>
  <c r="C24" i="3"/>
  <c r="C24" i="2"/>
  <c r="C24" i="1"/>
  <c r="C18" i="30" l="1"/>
  <c r="C18" i="27"/>
  <c r="C18" i="34"/>
  <c r="C18" i="29"/>
  <c r="C18" i="18"/>
  <c r="C18" i="28"/>
  <c r="C18" i="17"/>
  <c r="C18" i="16"/>
  <c r="C18" i="15"/>
  <c r="C18" i="14"/>
  <c r="C18" i="13"/>
  <c r="C18" i="10"/>
  <c r="C18" i="12"/>
  <c r="C18" i="11"/>
  <c r="C18" i="8"/>
  <c r="C18" i="9"/>
  <c r="C18" i="7"/>
  <c r="C18" i="6"/>
  <c r="C18" i="5"/>
  <c r="C18" i="4"/>
  <c r="C18" i="26"/>
  <c r="C18" i="3"/>
  <c r="C18" i="2"/>
  <c r="C18" i="1"/>
  <c r="C20" i="28"/>
  <c r="C20" i="4"/>
  <c r="C20" i="26"/>
  <c r="C19" i="30" l="1"/>
  <c r="C23" i="5"/>
  <c r="C31" i="29"/>
  <c r="C25" i="11"/>
  <c r="C31" i="7"/>
  <c r="C31" i="6"/>
  <c r="D23" i="34"/>
  <c r="D35"/>
  <c r="D34"/>
  <c r="C33"/>
  <c r="D33" s="1"/>
  <c r="D32"/>
  <c r="C31"/>
  <c r="D30"/>
  <c r="D29"/>
  <c r="D28"/>
  <c r="D27"/>
  <c r="D26"/>
  <c r="C25"/>
  <c r="D25" s="1"/>
  <c r="D24"/>
  <c r="D22"/>
  <c r="D20"/>
  <c r="D19"/>
  <c r="D18"/>
  <c r="D31" l="1"/>
  <c r="D21"/>
  <c r="C17"/>
  <c r="C16" s="1"/>
  <c r="D17" l="1"/>
  <c r="D16"/>
  <c r="C15"/>
  <c r="D15" l="1"/>
  <c r="D18" i="27" l="1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D18" i="30"/>
  <c r="D19"/>
  <c r="D20"/>
  <c r="D21"/>
  <c r="D22"/>
  <c r="D23"/>
  <c r="D24"/>
  <c r="D26"/>
  <c r="D27"/>
  <c r="D28"/>
  <c r="D29"/>
  <c r="D30"/>
  <c r="D32"/>
  <c r="D34"/>
  <c r="D35"/>
  <c r="C33"/>
  <c r="C31"/>
  <c r="D31" s="1"/>
  <c r="D18" i="29"/>
  <c r="D19"/>
  <c r="D20"/>
  <c r="D21"/>
  <c r="D22"/>
  <c r="D23"/>
  <c r="D24"/>
  <c r="D26"/>
  <c r="D27"/>
  <c r="D28"/>
  <c r="D29"/>
  <c r="D30"/>
  <c r="D32"/>
  <c r="D34"/>
  <c r="D35"/>
  <c r="C33"/>
  <c r="D33" s="1"/>
  <c r="D18" i="28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D35" i="18"/>
  <c r="D18"/>
  <c r="D19"/>
  <c r="D20"/>
  <c r="D21"/>
  <c r="D22"/>
  <c r="D23"/>
  <c r="D24"/>
  <c r="D26"/>
  <c r="D27"/>
  <c r="D28"/>
  <c r="D29"/>
  <c r="D30"/>
  <c r="D31"/>
  <c r="D32"/>
  <c r="D34"/>
  <c r="C33"/>
  <c r="D33" s="1"/>
  <c r="C31"/>
  <c r="D18" i="17"/>
  <c r="D19"/>
  <c r="D20"/>
  <c r="D21"/>
  <c r="D22"/>
  <c r="D23"/>
  <c r="D24"/>
  <c r="D26"/>
  <c r="D27"/>
  <c r="D28"/>
  <c r="D29"/>
  <c r="D30"/>
  <c r="D31"/>
  <c r="D32"/>
  <c r="D34"/>
  <c r="D35"/>
  <c r="C33"/>
  <c r="D33" s="1"/>
  <c r="C31"/>
  <c r="D18" i="16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D18" i="15"/>
  <c r="D19"/>
  <c r="D20"/>
  <c r="D21"/>
  <c r="D22"/>
  <c r="D23"/>
  <c r="D24"/>
  <c r="D26"/>
  <c r="D27"/>
  <c r="D28"/>
  <c r="D29"/>
  <c r="D30"/>
  <c r="D31"/>
  <c r="D32"/>
  <c r="D34"/>
  <c r="D35"/>
  <c r="C33"/>
  <c r="D33" s="1"/>
  <c r="C31"/>
  <c r="D18" i="14"/>
  <c r="D19"/>
  <c r="D20"/>
  <c r="D21"/>
  <c r="D22"/>
  <c r="D23"/>
  <c r="D24"/>
  <c r="D26"/>
  <c r="D27"/>
  <c r="D28"/>
  <c r="D29"/>
  <c r="D30"/>
  <c r="D31"/>
  <c r="D32"/>
  <c r="D34"/>
  <c r="D35"/>
  <c r="C33"/>
  <c r="C31"/>
  <c r="D18" i="13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D18" i="10"/>
  <c r="D19"/>
  <c r="D20"/>
  <c r="D21"/>
  <c r="D22"/>
  <c r="D23"/>
  <c r="D24"/>
  <c r="D26"/>
  <c r="D27"/>
  <c r="D28"/>
  <c r="D29"/>
  <c r="D30"/>
  <c r="D31"/>
  <c r="D32"/>
  <c r="D33"/>
  <c r="D34"/>
  <c r="D35"/>
  <c r="C33"/>
  <c r="C31"/>
  <c r="D18" i="12"/>
  <c r="D19"/>
  <c r="D20"/>
  <c r="D21"/>
  <c r="D22"/>
  <c r="D23"/>
  <c r="D24"/>
  <c r="D26"/>
  <c r="D27"/>
  <c r="D28"/>
  <c r="D29"/>
  <c r="D30"/>
  <c r="D32"/>
  <c r="D34"/>
  <c r="D35"/>
  <c r="C33"/>
  <c r="C31"/>
  <c r="D31" s="1"/>
  <c r="D18" i="11"/>
  <c r="D19"/>
  <c r="D20"/>
  <c r="D21"/>
  <c r="D22"/>
  <c r="D23"/>
  <c r="D24"/>
  <c r="D26"/>
  <c r="D27"/>
  <c r="D28"/>
  <c r="D29"/>
  <c r="D30"/>
  <c r="D31"/>
  <c r="D32"/>
  <c r="D34"/>
  <c r="D35"/>
  <c r="C33"/>
  <c r="C31"/>
  <c r="D18" i="8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D18" i="9"/>
  <c r="D19"/>
  <c r="D20"/>
  <c r="D21"/>
  <c r="D22"/>
  <c r="D23"/>
  <c r="D24"/>
  <c r="D26"/>
  <c r="D27"/>
  <c r="D28"/>
  <c r="D29"/>
  <c r="D30"/>
  <c r="D32"/>
  <c r="D33"/>
  <c r="D34"/>
  <c r="D35"/>
  <c r="C33"/>
  <c r="C31"/>
  <c r="D31" s="1"/>
  <c r="D18" i="7"/>
  <c r="D19"/>
  <c r="D20"/>
  <c r="D21"/>
  <c r="D22"/>
  <c r="D23"/>
  <c r="D24"/>
  <c r="D26"/>
  <c r="D27"/>
  <c r="D28"/>
  <c r="D29"/>
  <c r="D30"/>
  <c r="D31"/>
  <c r="D32"/>
  <c r="D34"/>
  <c r="D35"/>
  <c r="C33"/>
  <c r="D33" s="1"/>
  <c r="D18" i="6"/>
  <c r="D19"/>
  <c r="D20"/>
  <c r="D21"/>
  <c r="D22"/>
  <c r="D23"/>
  <c r="D24"/>
  <c r="D26"/>
  <c r="D27"/>
  <c r="D28"/>
  <c r="D29"/>
  <c r="D30"/>
  <c r="D31"/>
  <c r="D32"/>
  <c r="D34"/>
  <c r="D35"/>
  <c r="C33"/>
  <c r="D33" s="1"/>
  <c r="D18" i="5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D18" i="4"/>
  <c r="D19"/>
  <c r="D20"/>
  <c r="D21"/>
  <c r="D22"/>
  <c r="D23"/>
  <c r="D24"/>
  <c r="D26"/>
  <c r="D27"/>
  <c r="D28"/>
  <c r="D29"/>
  <c r="D30"/>
  <c r="D32"/>
  <c r="D34"/>
  <c r="D35"/>
  <c r="C33"/>
  <c r="D33" s="1"/>
  <c r="C31"/>
  <c r="D31" s="1"/>
  <c r="C31" i="26"/>
  <c r="D18"/>
  <c r="D19"/>
  <c r="D20"/>
  <c r="D21"/>
  <c r="D22"/>
  <c r="D23"/>
  <c r="D24"/>
  <c r="D26"/>
  <c r="D27"/>
  <c r="D28"/>
  <c r="D29"/>
  <c r="D30"/>
  <c r="D31"/>
  <c r="D32"/>
  <c r="D34"/>
  <c r="D35"/>
  <c r="C33"/>
  <c r="D18" i="3"/>
  <c r="D19"/>
  <c r="D20"/>
  <c r="D21"/>
  <c r="D22"/>
  <c r="D23"/>
  <c r="D24"/>
  <c r="D26"/>
  <c r="D27"/>
  <c r="D28"/>
  <c r="D29"/>
  <c r="D30"/>
  <c r="D32"/>
  <c r="D34"/>
  <c r="D35"/>
  <c r="C25"/>
  <c r="D25" s="1"/>
  <c r="C33"/>
  <c r="D33" s="1"/>
  <c r="D33" i="30" l="1"/>
  <c r="D33" i="11"/>
  <c r="D33" i="26"/>
  <c r="C17" i="3"/>
  <c r="D17" s="1"/>
  <c r="D33" i="12"/>
  <c r="D31" i="29"/>
  <c r="D33" i="14"/>
  <c r="C31" i="3"/>
  <c r="D19" i="1"/>
  <c r="D20"/>
  <c r="D21"/>
  <c r="D22"/>
  <c r="D23"/>
  <c r="D24"/>
  <c r="D26"/>
  <c r="D29"/>
  <c r="D32"/>
  <c r="D33"/>
  <c r="D34"/>
  <c r="D35"/>
  <c r="D19" i="2"/>
  <c r="D20"/>
  <c r="D21"/>
  <c r="D22"/>
  <c r="D23"/>
  <c r="D24"/>
  <c r="D26"/>
  <c r="D27"/>
  <c r="D28"/>
  <c r="D29"/>
  <c r="D30"/>
  <c r="D32"/>
  <c r="D33"/>
  <c r="D34"/>
  <c r="D35"/>
  <c r="C33"/>
  <c r="C31"/>
  <c r="D31" s="1"/>
  <c r="C31" i="1"/>
  <c r="D31" i="3" l="1"/>
  <c r="C16"/>
  <c r="C15" s="1"/>
  <c r="D15" s="1"/>
  <c r="D31" i="1"/>
  <c r="D18" i="2"/>
  <c r="D16" i="3" l="1"/>
  <c r="D18" i="1" l="1"/>
  <c r="C25" i="26" l="1"/>
  <c r="C25" i="27"/>
  <c r="C25" i="17"/>
  <c r="C25" i="13"/>
  <c r="C25" i="8"/>
  <c r="C25" i="18"/>
  <c r="C25" i="2"/>
  <c r="D25" i="27" l="1"/>
  <c r="C17"/>
  <c r="C17" i="18"/>
  <c r="D25"/>
  <c r="C17" i="17"/>
  <c r="D25"/>
  <c r="D25" i="13"/>
  <c r="C17"/>
  <c r="D25" i="8"/>
  <c r="C17"/>
  <c r="C17" i="26"/>
  <c r="D25"/>
  <c r="D25" i="2"/>
  <c r="C17"/>
  <c r="D27" i="1"/>
  <c r="C25"/>
  <c r="D28"/>
  <c r="D30"/>
  <c r="C25" i="30"/>
  <c r="C25" i="29"/>
  <c r="C25" i="28"/>
  <c r="C25" i="16"/>
  <c r="C25" i="15"/>
  <c r="C25" i="14"/>
  <c r="C25" i="10"/>
  <c r="C25" i="12"/>
  <c r="C25" i="9"/>
  <c r="C25" i="7"/>
  <c r="C25" i="6"/>
  <c r="C25" i="5"/>
  <c r="C25" i="4"/>
  <c r="D17" i="27" l="1"/>
  <c r="C16"/>
  <c r="D25" i="30"/>
  <c r="C17"/>
  <c r="D17" s="1"/>
  <c r="D25" i="29"/>
  <c r="C17"/>
  <c r="D25" i="28"/>
  <c r="C17"/>
  <c r="D17" i="18"/>
  <c r="C16"/>
  <c r="C16" i="17"/>
  <c r="D17"/>
  <c r="C17" i="16"/>
  <c r="D25"/>
  <c r="D25" i="15"/>
  <c r="C17"/>
  <c r="C17" i="14"/>
  <c r="D25"/>
  <c r="D17" i="13"/>
  <c r="C16"/>
  <c r="D25" i="10"/>
  <c r="C17"/>
  <c r="C17" i="12"/>
  <c r="D25"/>
  <c r="D25" i="11"/>
  <c r="C17"/>
  <c r="C16" i="8"/>
  <c r="D17"/>
  <c r="D25" i="9"/>
  <c r="C17"/>
  <c r="D25" i="7"/>
  <c r="C17"/>
  <c r="D25" i="6"/>
  <c r="C17"/>
  <c r="D25" i="5"/>
  <c r="C17"/>
  <c r="C17" i="4"/>
  <c r="D25"/>
  <c r="D17" i="26"/>
  <c r="C16"/>
  <c r="C16" i="2"/>
  <c r="D17"/>
  <c r="D25" i="1"/>
  <c r="C17"/>
  <c r="C16" i="30" l="1"/>
  <c r="C15" i="27"/>
  <c r="D15" s="1"/>
  <c r="D16"/>
  <c r="D17" i="29"/>
  <c r="C16"/>
  <c r="D17" i="28"/>
  <c r="C16"/>
  <c r="C15" i="18"/>
  <c r="D15" s="1"/>
  <c r="D16"/>
  <c r="C15" i="17"/>
  <c r="D15" s="1"/>
  <c r="D16"/>
  <c r="D17" i="16"/>
  <c r="C16"/>
  <c r="D17" i="15"/>
  <c r="C16"/>
  <c r="D17" i="14"/>
  <c r="C16"/>
  <c r="D16" i="13"/>
  <c r="C15"/>
  <c r="D15" s="1"/>
  <c r="D17" i="10"/>
  <c r="C16"/>
  <c r="D17" i="12"/>
  <c r="C16"/>
  <c r="D17" i="11"/>
  <c r="C16"/>
  <c r="D16" i="8"/>
  <c r="C15"/>
  <c r="D15" s="1"/>
  <c r="D17" i="9"/>
  <c r="C16"/>
  <c r="C16" i="7"/>
  <c r="D17"/>
  <c r="D17" i="6"/>
  <c r="C16"/>
  <c r="C16" i="5"/>
  <c r="D17"/>
  <c r="D17" i="4"/>
  <c r="C16"/>
  <c r="C15" i="26"/>
  <c r="D15" s="1"/>
  <c r="D16"/>
  <c r="C15" i="2"/>
  <c r="D15" s="1"/>
  <c r="D16"/>
  <c r="D17" i="1"/>
  <c r="C16"/>
  <c r="C15" i="30" l="1"/>
  <c r="D15" s="1"/>
  <c r="D16"/>
  <c r="C15" i="29"/>
  <c r="D15" s="1"/>
  <c r="D16"/>
  <c r="D16" i="28"/>
  <c r="C15"/>
  <c r="D15" s="1"/>
  <c r="D16" i="16"/>
  <c r="C15"/>
  <c r="D15" s="1"/>
  <c r="D16" i="15"/>
  <c r="C15"/>
  <c r="D15" s="1"/>
  <c r="C15" i="14"/>
  <c r="D15" s="1"/>
  <c r="D16"/>
  <c r="D16" i="10"/>
  <c r="C15"/>
  <c r="D15" s="1"/>
  <c r="D16" i="12"/>
  <c r="C15"/>
  <c r="D15" s="1"/>
  <c r="C15" i="11"/>
  <c r="D15" s="1"/>
  <c r="D16"/>
  <c r="D16" i="9"/>
  <c r="C15"/>
  <c r="D15" s="1"/>
  <c r="C15" i="7"/>
  <c r="D15" s="1"/>
  <c r="D16"/>
  <c r="C15" i="6"/>
  <c r="D15" s="1"/>
  <c r="D16"/>
  <c r="C15" i="5"/>
  <c r="D16"/>
  <c r="C15" i="4"/>
  <c r="D16"/>
  <c r="D16" i="1"/>
  <c r="C15"/>
  <c r="D15" i="4" l="1"/>
  <c r="D15" i="5"/>
  <c r="D15" i="1"/>
</calcChain>
</file>

<file path=xl/sharedStrings.xml><?xml version="1.0" encoding="utf-8"?>
<sst xmlns="http://schemas.openxmlformats.org/spreadsheetml/2006/main" count="984" uniqueCount="63">
  <si>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</si>
  <si>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</si>
  <si>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</si>
  <si>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</si>
  <si>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</si>
  <si>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</si>
  <si>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</si>
  <si>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</si>
  <si>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</si>
  <si>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</si>
  <si>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</si>
  <si>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</si>
  <si>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</si>
  <si>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</si>
  <si>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виплати населенню (стипендія Поляка)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</si>
  <si>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</si>
  <si>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</si>
  <si>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</si>
  <si>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</si>
  <si>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</si>
  <si>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</si>
  <si>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</si>
  <si>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</si>
  <si>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</si>
  <si>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</si>
  <si>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</si>
  <si>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</si>
  <si>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</si>
  <si>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</si>
  <si>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</si>
  <si>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</si>
  <si>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</si>
  <si>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про надходження та використання коштів</t>
  </si>
  <si>
    <t>Надійшло коштів за звітний період (січень-грудень)</t>
  </si>
  <si>
    <t>Використано коштів за звітний період (січень-грудень)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</si>
  <si>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</si>
  <si>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</si>
  <si>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Протипожежні заходи</t>
  </si>
  <si>
    <t>за ІII квартал 2022 р.</t>
  </si>
  <si>
    <t xml:space="preserve">Запорізька гімназія №4 Запорізької міської ради </t>
  </si>
  <si>
    <t>Запорізька гімназія № 12 Запорізької міської ради</t>
  </si>
  <si>
    <t xml:space="preserve">Запорізька спеціалізована школа фізичної культури І-ІІІ ступенів № 18 Запорізької міської ради </t>
  </si>
  <si>
    <t xml:space="preserve">Запорізька гімназія № 19 Запорізької міської ради </t>
  </si>
  <si>
    <t xml:space="preserve">Запорізький академічний ліцей № 34 
Запорізької міської ради
</t>
  </si>
  <si>
    <t>Запорізька гімназія № 42 Запорізької міської ради</t>
  </si>
  <si>
    <t xml:space="preserve">Запорізька гімназія № 52 Запорізької міської ради  </t>
  </si>
  <si>
    <t xml:space="preserve">Запорізька загальноосвітня школа І-ІІ ступенів 
№ 53 Запорізької міської ради 
</t>
  </si>
  <si>
    <t xml:space="preserve">Запорізька  гімназія №55 Запорізької міської ради </t>
  </si>
  <si>
    <t>Запорізька гімназія № 60 Запорізької міської ради</t>
  </si>
  <si>
    <t>Запорізька гімназія №63 Запорізької міської ради</t>
  </si>
  <si>
    <t xml:space="preserve">Запорізька гімназія №64 Запорізької міської ради </t>
  </si>
  <si>
    <t>Запорізька гімназія № 65 Запорізької міської ради</t>
  </si>
  <si>
    <t xml:space="preserve">Запорізька гімназія № 77 Запорізької міської ради            </t>
  </si>
  <si>
    <t xml:space="preserve">Запорізька гімназія № 93 Запорізької міської ради  </t>
  </si>
  <si>
    <t>Запорізька гімназія № 95 Запорізької міської ради</t>
  </si>
  <si>
    <t xml:space="preserve">Запорізька гімназія №101 Запорізької міської ради
</t>
  </si>
  <si>
    <t>Запорізька гімназія №111 Запорізької міської ради</t>
  </si>
  <si>
    <t xml:space="preserve">Запорізький академічний ліцей «Вибір» Запорізької міської ради  </t>
  </si>
  <si>
    <t>Запорізький академічний ліцей «Перспектива» Запорізької міської ради</t>
  </si>
  <si>
    <t>Запорізька початкова школа «Прогрес» Запорізької міської ради</t>
  </si>
  <si>
    <t>Запорізька початкова школа «Світанок» Запорізької міської ради</t>
  </si>
  <si>
    <t>Запорізька початкова школа « Натхнення» Запорізької міської ради</t>
  </si>
  <si>
    <t xml:space="preserve">Запорізька початкова школа «Мрія» 
ім. О.М.Поради Запорізької міської ради
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</si>
</sst>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4" fontId="0" fillId="0" borderId="0" xfId="0" applyNumberFormat="1" applyFont="1" applyAlignment="1"/>
    <xf numFmtId="0" fontId="11" fillId="0" borderId="0" xfId="0" applyFont="1" applyAlignment="1"/>
    <xf numFmtId="4" fontId="0" fillId="6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7"/>
  <sheetViews>
    <sheetView view="pageBreakPreview" topLeftCell="A10" zoomScaleNormal="6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customWidth="1"/>
    <col min="2" max="2" width="10.85546875" customWidth="1"/>
    <col min="3" max="4" width="17.42578125" customWidth="1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51.75" customHeight="1">
      <c r="A5" s="17" t="s">
        <v>23</v>
      </c>
      <c r="B5" s="37" t="s">
        <v>39</v>
      </c>
      <c r="C5" s="37"/>
      <c r="D5" s="37"/>
      <c r="E5" s="18"/>
    </row>
    <row r="6" spans="1:5">
      <c r="A6" s="17" t="s">
        <v>24</v>
      </c>
      <c r="B6" s="16" t="s">
        <v>25</v>
      </c>
      <c r="C6" s="15"/>
      <c r="D6" s="15"/>
      <c r="E6" s="15"/>
    </row>
    <row r="7" spans="1:5">
      <c r="A7" s="17" t="s">
        <v>26</v>
      </c>
      <c r="B7" s="16" t="s">
        <v>27</v>
      </c>
      <c r="C7" s="15"/>
      <c r="D7" s="15"/>
      <c r="E7" s="15"/>
    </row>
    <row r="8" spans="1:5" ht="25.5">
      <c r="A8" s="1" t="s">
        <v>28</v>
      </c>
      <c r="B8" s="16" t="s">
        <v>29</v>
      </c>
      <c r="C8" s="15"/>
      <c r="D8" s="15"/>
      <c r="E8" s="15"/>
    </row>
    <row r="9" spans="1:5" ht="43.5" customHeight="1">
      <c r="A9" s="1" t="s">
        <v>30</v>
      </c>
      <c r="B9" s="41" t="s">
        <v>31</v>
      </c>
      <c r="C9" s="41"/>
      <c r="D9" s="41"/>
      <c r="E9" s="15"/>
    </row>
    <row r="10" spans="1:5">
      <c r="A10" s="3" t="s">
        <v>21</v>
      </c>
    </row>
    <row r="11" spans="1:5">
      <c r="A11" s="3" t="s">
        <v>1</v>
      </c>
    </row>
    <row r="12" spans="1:5" s="7" customFormat="1" ht="16.5" customHeight="1">
      <c r="A12" s="38"/>
      <c r="B12" s="39"/>
      <c r="C12" s="39"/>
      <c r="D12" s="39"/>
    </row>
    <row r="13" spans="1:5" s="7" customFormat="1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 s="7" customFormat="1">
      <c r="A14" s="24">
        <v>1</v>
      </c>
      <c r="B14" s="24">
        <v>2</v>
      </c>
      <c r="C14" s="24">
        <v>3</v>
      </c>
      <c r="D14" s="24">
        <v>4</v>
      </c>
    </row>
    <row r="15" spans="1:5" s="10" customFormat="1" ht="15.75" customHeight="1">
      <c r="A15" s="24" t="s">
        <v>3</v>
      </c>
      <c r="B15" s="24" t="s">
        <v>4</v>
      </c>
      <c r="C15" s="28">
        <f>C16+C33</f>
        <v>1041923.9299999999</v>
      </c>
      <c r="D15" s="28">
        <f>C15</f>
        <v>1041923.9299999999</v>
      </c>
      <c r="E15" s="22"/>
    </row>
    <row r="16" spans="1:5" s="9" customFormat="1" ht="36" customHeight="1">
      <c r="A16" s="26" t="s">
        <v>19</v>
      </c>
      <c r="B16" s="24">
        <v>2000</v>
      </c>
      <c r="C16" s="28">
        <f>C17+C31</f>
        <v>1041923.9299999999</v>
      </c>
      <c r="D16" s="28">
        <f t="shared" ref="D16:D35" si="0">C16</f>
        <v>1041923.9299999999</v>
      </c>
      <c r="E16" s="22"/>
    </row>
    <row r="17" spans="1:5" s="11" customFormat="1" ht="15.75" customHeight="1">
      <c r="A17" s="23" t="s">
        <v>5</v>
      </c>
      <c r="B17" s="24">
        <v>2200</v>
      </c>
      <c r="C17" s="28">
        <f>C18+C19+C20+C21+C22+C23+C24+C25</f>
        <v>1041923.9299999999</v>
      </c>
      <c r="D17" s="28">
        <f t="shared" si="0"/>
        <v>1041923.9299999999</v>
      </c>
      <c r="E17" s="22"/>
    </row>
    <row r="18" spans="1:5" s="12" customFormat="1" ht="15.75" customHeight="1">
      <c r="A18" s="29" t="s">
        <v>6</v>
      </c>
      <c r="B18" s="30">
        <v>2210</v>
      </c>
      <c r="C18" s="31">
        <f>3120+2500</f>
        <v>5620</v>
      </c>
      <c r="D18" s="31">
        <f t="shared" si="0"/>
        <v>5620</v>
      </c>
      <c r="E18" s="22"/>
    </row>
    <row r="19" spans="1:5" s="8" customFormat="1" ht="15.75" customHeigh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 ht="15.75" customHeight="1">
      <c r="A20" s="23" t="s">
        <v>37</v>
      </c>
      <c r="B20" s="24">
        <v>2210</v>
      </c>
      <c r="C20" s="32"/>
      <c r="D20" s="32">
        <f t="shared" si="0"/>
        <v>0</v>
      </c>
      <c r="E20" s="22"/>
    </row>
    <row r="21" spans="1:5" s="12" customFormat="1" ht="15.75" customHeight="1">
      <c r="A21" s="23" t="s">
        <v>7</v>
      </c>
      <c r="B21" s="24">
        <v>2240</v>
      </c>
      <c r="C21" s="28">
        <f>2050+1950+2182.38+6382.05</f>
        <v>12564.43</v>
      </c>
      <c r="D21" s="28">
        <f t="shared" si="0"/>
        <v>12564.43</v>
      </c>
      <c r="E21" s="22"/>
    </row>
    <row r="22" spans="1:5" s="21" customFormat="1" ht="15.75" customHeight="1">
      <c r="A22" s="23" t="s">
        <v>36</v>
      </c>
      <c r="B22" s="24">
        <v>2240</v>
      </c>
      <c r="C22" s="33"/>
      <c r="D22" s="33">
        <f t="shared" si="0"/>
        <v>0</v>
      </c>
      <c r="E22" s="22"/>
    </row>
    <row r="23" spans="1:5" s="21" customFormat="1" ht="15.75" customHeight="1">
      <c r="A23" s="23" t="s">
        <v>20</v>
      </c>
      <c r="B23" s="24">
        <v>2240</v>
      </c>
      <c r="C23" s="33"/>
      <c r="D23" s="33">
        <f t="shared" si="0"/>
        <v>0</v>
      </c>
      <c r="E23" s="22"/>
    </row>
    <row r="24" spans="1:5" s="21" customFormat="1" ht="15.75" customHeight="1">
      <c r="A24" s="23" t="s">
        <v>37</v>
      </c>
      <c r="B24" s="24">
        <v>2240</v>
      </c>
      <c r="C24" s="33">
        <f>5066.05+9999+942.5</f>
        <v>16007.55</v>
      </c>
      <c r="D24" s="33">
        <f t="shared" si="0"/>
        <v>16007.55</v>
      </c>
      <c r="E24" s="22"/>
    </row>
    <row r="25" spans="1:5" s="12" customFormat="1" ht="15.75" customHeight="1">
      <c r="A25" s="23" t="s">
        <v>16</v>
      </c>
      <c r="B25" s="24">
        <v>2270</v>
      </c>
      <c r="C25" s="28">
        <f>C26+C27+C28+C29+C30</f>
        <v>1007731.95</v>
      </c>
      <c r="D25" s="28">
        <f t="shared" si="0"/>
        <v>1007731.95</v>
      </c>
      <c r="E25" s="22"/>
    </row>
    <row r="26" spans="1:5" s="7" customFormat="1" ht="15.75" customHeight="1">
      <c r="A26" s="25" t="s">
        <v>9</v>
      </c>
      <c r="B26" s="26">
        <v>2271</v>
      </c>
      <c r="C26" s="27">
        <f>802302.23</f>
        <v>802302.23</v>
      </c>
      <c r="D26" s="27">
        <f t="shared" si="0"/>
        <v>802302.23</v>
      </c>
      <c r="E26" s="22"/>
    </row>
    <row r="27" spans="1:5" s="7" customFormat="1" ht="15.75" customHeight="1">
      <c r="A27" s="25" t="s">
        <v>10</v>
      </c>
      <c r="B27" s="26">
        <v>2272</v>
      </c>
      <c r="C27" s="27">
        <f>51527.47</f>
        <v>51527.47</v>
      </c>
      <c r="D27" s="27">
        <f t="shared" si="0"/>
        <v>51527.47</v>
      </c>
      <c r="E27" s="22"/>
    </row>
    <row r="28" spans="1:5" s="7" customFormat="1" ht="15.75" customHeight="1">
      <c r="A28" s="25" t="s">
        <v>11</v>
      </c>
      <c r="B28" s="26">
        <v>2273</v>
      </c>
      <c r="C28" s="27">
        <f>147095.23</f>
        <v>147095.23000000001</v>
      </c>
      <c r="D28" s="27">
        <f t="shared" si="0"/>
        <v>147095.23000000001</v>
      </c>
      <c r="E28" s="22"/>
    </row>
    <row r="29" spans="1:5" s="7" customFormat="1" ht="15.75" hidden="1" customHeight="1">
      <c r="A29" s="25" t="s">
        <v>12</v>
      </c>
      <c r="B29" s="26">
        <v>2274</v>
      </c>
      <c r="C29" s="27">
        <v>0</v>
      </c>
      <c r="D29" s="27">
        <f t="shared" si="0"/>
        <v>0</v>
      </c>
      <c r="E29" s="22"/>
    </row>
    <row r="30" spans="1:5" s="7" customFormat="1" ht="15.75" customHeight="1">
      <c r="A30" s="25" t="s">
        <v>8</v>
      </c>
      <c r="B30" s="26">
        <v>2275</v>
      </c>
      <c r="C30" s="34">
        <f>6807.02</f>
        <v>6807.02</v>
      </c>
      <c r="D30" s="34">
        <f t="shared" si="0"/>
        <v>6807.02</v>
      </c>
      <c r="E30" s="22"/>
    </row>
    <row r="31" spans="1:5" s="11" customFormat="1" ht="15.75" customHeight="1">
      <c r="A31" s="23" t="s">
        <v>13</v>
      </c>
      <c r="B31" s="24">
        <v>2700</v>
      </c>
      <c r="C31" s="28">
        <f>C32</f>
        <v>0</v>
      </c>
      <c r="D31" s="28">
        <f t="shared" si="0"/>
        <v>0</v>
      </c>
      <c r="E31" s="22"/>
    </row>
    <row r="32" spans="1:5" s="7" customFormat="1" ht="15.75" customHeight="1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 ht="15.75" customHeight="1">
      <c r="A33" s="24" t="s">
        <v>15</v>
      </c>
      <c r="B33" s="24">
        <v>3000</v>
      </c>
      <c r="C33" s="27">
        <v>0</v>
      </c>
      <c r="D33" s="27">
        <f t="shared" si="0"/>
        <v>0</v>
      </c>
      <c r="E33" s="22"/>
    </row>
    <row r="34" spans="1:5" s="7" customFormat="1" ht="15.75" customHeight="1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 s="7" customFormat="1" ht="15.75" customHeight="1" thickBot="1">
      <c r="A35" s="6" t="s">
        <v>18</v>
      </c>
      <c r="B35" s="4">
        <v>3130</v>
      </c>
      <c r="C35" s="27"/>
      <c r="D35" s="27">
        <f t="shared" si="0"/>
        <v>0</v>
      </c>
      <c r="E35" s="22"/>
    </row>
    <row r="36" spans="1:5" s="7" customFormat="1" ht="15" customHeight="1">
      <c r="A36" s="5"/>
    </row>
    <row r="37" spans="1:5" s="7" customFormat="1" ht="35.450000000000003" customHeight="1">
      <c r="C37" s="20"/>
    </row>
    <row r="38" spans="1:5" s="7" customFormat="1" ht="15.75" customHeight="1"/>
    <row r="39" spans="1:5" s="7" customFormat="1" ht="15.75" customHeight="1"/>
    <row r="40" spans="1:5" s="7" customFormat="1" ht="36" customHeight="1"/>
    <row r="41" spans="1:5" s="7" customFormat="1" ht="15.75" customHeight="1"/>
    <row r="42" spans="1:5" s="7" customFormat="1" ht="15.75" customHeight="1"/>
    <row r="43" spans="1:5" s="8" customFormat="1" ht="15.75" customHeight="1"/>
    <row r="44" spans="1:5" s="8" customFormat="1" ht="15.75" customHeight="1"/>
    <row r="45" spans="1:5" s="8" customFormat="1" ht="15.75" customHeight="1"/>
    <row r="46" spans="1:5" s="7" customFormat="1" ht="15.75" customHeight="1"/>
    <row r="47" spans="1:5" s="7" customFormat="1" ht="15.75" customHeight="1"/>
    <row r="48" spans="1:5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25.5" customHeight="1"/>
    <row r="73" s="7" customFormat="1" ht="15.75" customHeight="1"/>
    <row r="74" s="7" customFormat="1" ht="15.75" customHeight="1"/>
    <row r="75" s="7" customFormat="1" ht="42.6" customHeight="1"/>
    <row r="76" s="7" customFormat="1" ht="15.75" customHeight="1"/>
    <row r="77" s="7" customFormat="1" ht="15.75" customHeight="1"/>
    <row r="78" s="7" customFormat="1" ht="36" customHeight="1"/>
    <row r="79" s="7" customFormat="1" ht="15.75" customHeight="1"/>
    <row r="80" s="7" customFormat="1" ht="15.75" customHeight="1"/>
    <row r="81" s="8" customFormat="1" ht="15.75" customHeight="1"/>
    <row r="82" s="8" customFormat="1" ht="15.75" customHeight="1"/>
    <row r="83" s="8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7" customFormat="1" ht="15.75" customHeight="1"/>
    <row r="97" s="7" customFormat="1" ht="15.75" customHeight="1"/>
    <row r="98" s="7" customFormat="1" ht="15.75" customHeight="1"/>
    <row r="99" s="7" customFormat="1" ht="15.75" customHeight="1"/>
    <row r="100" s="7" customFormat="1" ht="15.75" customHeight="1"/>
    <row r="101" s="7" customFormat="1" ht="15.75" customHeight="1"/>
    <row r="102" s="7" customFormat="1" ht="15.75" customHeight="1"/>
    <row r="103" s="7" customFormat="1" ht="15.75" customHeight="1"/>
    <row r="104" s="7" customFormat="1" ht="15.75" customHeight="1"/>
    <row r="105" s="7" customFormat="1" ht="15.75" customHeight="1"/>
    <row r="106" s="7" customFormat="1" ht="15.75" customHeight="1"/>
    <row r="107" s="7" customFormat="1" ht="15.75" customHeight="1"/>
    <row r="108" s="7" customFormat="1" ht="15.75" customHeight="1"/>
    <row r="109" s="7" customFormat="1" ht="15.75" customHeight="1"/>
    <row r="110" s="7" customFormat="1" ht="25.5" customHeight="1"/>
    <row r="111" s="7" customFormat="1" ht="15.75" customHeight="1"/>
    <row r="112" s="7" customFormat="1" ht="15.75" customHeight="1"/>
    <row r="113" s="7" customFormat="1" ht="39" customHeight="1"/>
    <row r="114" s="7" customFormat="1" ht="15.75" customHeight="1"/>
    <row r="115" s="7" customFormat="1" ht="15.75" customHeight="1"/>
    <row r="116" s="7" customFormat="1" ht="36" customHeight="1"/>
    <row r="117" s="7" customFormat="1" ht="15.75" customHeight="1"/>
    <row r="118" s="7" customFormat="1" ht="15.75" customHeight="1"/>
    <row r="119" s="8" customFormat="1" ht="15.75" customHeight="1"/>
    <row r="120" s="8" customFormat="1" ht="15.75" customHeight="1"/>
    <row r="121" s="8" customFormat="1" ht="15.75" customHeight="1"/>
    <row r="122" s="7" customFormat="1" ht="15.75" customHeight="1"/>
    <row r="123" s="7" customFormat="1" ht="15.75" customHeight="1"/>
    <row r="124" s="7" customFormat="1" ht="15.75" customHeight="1"/>
    <row r="125" s="7" customFormat="1" ht="15.75" customHeight="1"/>
    <row r="126" s="7" customFormat="1" ht="15.75" customHeight="1"/>
    <row r="127" s="7" customFormat="1" ht="15.75" customHeight="1"/>
    <row r="128" s="7" customFormat="1" ht="15.75" customHeight="1"/>
    <row r="129" s="7" customFormat="1" ht="15.75" customHeight="1"/>
    <row r="130" s="7" customFormat="1" ht="15.75" customHeight="1"/>
    <row r="131" s="7" customFormat="1" ht="15.75" customHeight="1"/>
    <row r="132" s="7" customFormat="1" ht="15.75" customHeight="1"/>
    <row r="133" s="7" customFormat="1" ht="15.75" customHeight="1"/>
    <row r="134" s="7" customFormat="1" ht="15.75" customHeight="1"/>
    <row r="135" s="7" customFormat="1" ht="15.75" customHeight="1"/>
    <row r="136" s="7" customFormat="1" ht="15.75" customHeight="1"/>
    <row r="137" s="7" customFormat="1" ht="15.75" customHeight="1"/>
    <row r="138" s="7" customFormat="1" ht="15.75" customHeight="1"/>
    <row r="139" s="7" customFormat="1" ht="15.75" customHeight="1"/>
    <row r="140" s="7" customFormat="1" ht="15.75" customHeight="1"/>
    <row r="141" s="7" customFormat="1" ht="15.75" customHeight="1"/>
    <row r="142" s="7" customFormat="1" ht="15.75" customHeight="1"/>
    <row r="143" s="7" customFormat="1" ht="15.75" customHeight="1"/>
    <row r="144" s="7" customFormat="1" ht="15.75" customHeight="1"/>
    <row r="145" s="7" customFormat="1" ht="15.75" customHeight="1"/>
    <row r="146" s="7" customFormat="1" ht="15.75" customHeight="1"/>
    <row r="147" s="7" customFormat="1" ht="15.75" customHeight="1"/>
    <row r="148" s="7" customFormat="1" ht="25.5" customHeight="1"/>
    <row r="149" s="7" customFormat="1" ht="15.75" customHeight="1"/>
    <row r="150" s="7" customFormat="1" ht="15.75" customHeight="1"/>
    <row r="151" s="7" customFormat="1" ht="43.15" customHeight="1"/>
    <row r="152" s="7" customFormat="1" ht="20.25" customHeight="1"/>
    <row r="153" s="7" customFormat="1" ht="15.75" customHeight="1"/>
    <row r="154" s="7" customFormat="1" ht="36" customHeight="1"/>
    <row r="155" s="7" customFormat="1" ht="15.75" customHeight="1"/>
    <row r="156" s="7" customFormat="1" ht="15.75" customHeight="1"/>
    <row r="157" s="8" customFormat="1" ht="15.75" customHeight="1"/>
    <row r="158" s="8" customFormat="1" ht="15.75" customHeight="1"/>
    <row r="159" s="8" customFormat="1" ht="15.75" customHeight="1"/>
    <row r="160" s="7" customFormat="1" ht="15.75" customHeight="1"/>
    <row r="161" s="7" customFormat="1" ht="15.75" customHeight="1"/>
    <row r="162" s="7" customFormat="1" ht="15.75" customHeight="1"/>
    <row r="163" s="7" customFormat="1" ht="15.75" customHeight="1"/>
    <row r="164" s="7" customFormat="1" ht="15.75" customHeight="1"/>
    <row r="165" s="7" customFormat="1" ht="15.75" customHeight="1"/>
    <row r="166" s="7" customFormat="1" ht="15.75" customHeight="1"/>
    <row r="167" s="7" customFormat="1" ht="15.75" customHeight="1"/>
    <row r="168" s="7" customFormat="1" ht="15.75" customHeight="1"/>
    <row r="169" s="7" customFormat="1" ht="15.75" customHeight="1"/>
    <row r="170" s="7" customFormat="1" ht="15.75" customHeight="1"/>
    <row r="171" s="7" customFormat="1" ht="15.75" customHeight="1"/>
    <row r="172" s="7" customFormat="1" ht="15.75" customHeight="1"/>
    <row r="173" s="7" customFormat="1" ht="15.75" customHeight="1"/>
    <row r="174" s="7" customFormat="1" ht="15.75" customHeight="1"/>
    <row r="175" s="7" customFormat="1" ht="15.75" customHeight="1"/>
    <row r="176" s="7" customFormat="1" ht="15.75" customHeight="1"/>
    <row r="177" s="7" customFormat="1" ht="15.75" customHeight="1"/>
    <row r="178" s="7" customFormat="1" ht="15.75" customHeight="1"/>
    <row r="179" s="7" customFormat="1" ht="15.75" customHeight="1"/>
    <row r="180" s="7" customFormat="1" ht="15.75" customHeight="1"/>
    <row r="181" s="7" customFormat="1" ht="15.75" customHeight="1"/>
    <row r="182" s="7" customFormat="1" ht="15.75" customHeight="1"/>
    <row r="183" s="7" customFormat="1" ht="15.75" customHeight="1"/>
    <row r="184" s="7" customFormat="1" ht="15.75" customHeight="1"/>
    <row r="185" s="7" customFormat="1" ht="15.75" customHeight="1"/>
    <row r="186" s="7" customFormat="1" ht="25.5" customHeight="1"/>
    <row r="187" s="7" customFormat="1" ht="15.75" customHeight="1"/>
    <row r="188" s="7" customFormat="1" ht="16.149999999999999" customHeight="1"/>
    <row r="189" s="7" customFormat="1" ht="48" customHeight="1"/>
    <row r="190" s="7" customFormat="1" ht="15.75" customHeight="1"/>
    <row r="191" s="7" customFormat="1" ht="15.75" customHeight="1"/>
    <row r="192" s="7" customFormat="1" ht="36" customHeight="1"/>
    <row r="193" s="7" customFormat="1" ht="15.75" customHeight="1"/>
    <row r="194" s="7" customFormat="1" ht="15.75" customHeight="1"/>
    <row r="195" s="8" customFormat="1" ht="15.75" customHeight="1"/>
    <row r="196" s="8" customFormat="1" ht="15.75" customHeight="1"/>
    <row r="197" s="8" customFormat="1" ht="15.75" customHeight="1"/>
    <row r="198" s="7" customFormat="1" ht="15.75" customHeight="1"/>
    <row r="199" s="7" customFormat="1" ht="15.75" customHeight="1"/>
    <row r="200" s="7" customFormat="1" ht="15.75" customHeight="1"/>
    <row r="201" s="7" customFormat="1" ht="15.75" customHeight="1"/>
    <row r="202" s="7" customFormat="1" ht="15.75" customHeight="1"/>
    <row r="203" s="7" customFormat="1" ht="15.75" customHeight="1"/>
    <row r="204" s="7" customFormat="1" ht="15.75" customHeight="1"/>
    <row r="205" s="7" customFormat="1" ht="15.75" customHeight="1"/>
    <row r="206" s="7" customFormat="1" ht="15.75" customHeight="1"/>
    <row r="207" s="7" customFormat="1" ht="15.75" customHeight="1"/>
    <row r="208" s="7" customFormat="1" ht="15.75" customHeight="1"/>
    <row r="209" s="7" customFormat="1" ht="15.75" customHeight="1"/>
    <row r="210" s="7" customFormat="1" ht="15.75" customHeight="1"/>
    <row r="211" s="7" customFormat="1" ht="15.75" customHeight="1"/>
    <row r="212" s="7" customFormat="1" ht="15.75" customHeight="1"/>
    <row r="213" s="7" customFormat="1" ht="15.75" customHeight="1"/>
    <row r="214" s="7" customFormat="1" ht="15.75" customHeight="1"/>
    <row r="215" s="7" customFormat="1" ht="15.75" customHeight="1"/>
    <row r="216" s="7" customFormat="1" ht="15.75" customHeight="1"/>
    <row r="217" s="7" customFormat="1" ht="15.75" customHeight="1"/>
    <row r="218" s="7" customFormat="1" ht="15.75" customHeight="1"/>
    <row r="219" s="7" customFormat="1" ht="15.75" customHeight="1"/>
    <row r="220" s="7" customFormat="1" ht="15.75" customHeight="1"/>
    <row r="221" s="7" customFormat="1" ht="15.75" customHeight="1"/>
    <row r="222" s="7" customFormat="1" ht="15.75" customHeight="1"/>
    <row r="223" s="7" customFormat="1" ht="15.75" customHeight="1"/>
    <row r="224" s="7" customFormat="1" ht="25.5" customHeight="1"/>
    <row r="225" s="7" customFormat="1" ht="15.75" customHeight="1"/>
    <row r="226" s="7" customFormat="1" ht="15.75" customHeight="1"/>
    <row r="227" s="7" customFormat="1" ht="50.45" customHeight="1"/>
    <row r="228" s="7" customFormat="1" ht="15.75" customHeight="1"/>
    <row r="229" s="7" customFormat="1" ht="15.75" customHeight="1"/>
    <row r="230" s="7" customFormat="1" ht="36" customHeight="1"/>
    <row r="231" s="7" customFormat="1" ht="15.75" customHeight="1"/>
    <row r="232" s="7" customFormat="1" ht="15.75" customHeight="1"/>
    <row r="233" s="8" customFormat="1" ht="15.75" customHeight="1"/>
    <row r="234" s="8" customFormat="1" ht="15.75" customHeight="1"/>
    <row r="235" s="8" customFormat="1" ht="15.75" customHeight="1"/>
    <row r="236" s="7" customFormat="1" ht="15.75" customHeight="1"/>
    <row r="237" s="7" customFormat="1" ht="15.75" customHeight="1"/>
    <row r="238" s="7" customFormat="1" ht="15.75" customHeight="1"/>
    <row r="239" s="7" customFormat="1" ht="15.75" customHeight="1"/>
    <row r="240" s="7" customFormat="1" ht="15.75" customHeight="1"/>
    <row r="241" s="7" customFormat="1" ht="15.75" customHeight="1"/>
    <row r="242" s="7" customFormat="1" ht="15.75" customHeight="1"/>
    <row r="243" s="7" customFormat="1" ht="15.75" customHeight="1"/>
    <row r="244" s="7" customFormat="1" ht="15.75" customHeight="1"/>
    <row r="245" s="7" customFormat="1" ht="15.75" customHeight="1"/>
    <row r="246" s="7" customFormat="1" ht="15.75" customHeight="1"/>
    <row r="247" s="7" customFormat="1" ht="15.75" customHeight="1"/>
    <row r="248" s="7" customFormat="1" ht="15.75" customHeight="1"/>
    <row r="249" s="7" customFormat="1" ht="15.75" customHeight="1"/>
    <row r="250" s="7" customFormat="1" ht="15.75" customHeight="1"/>
    <row r="251" s="7" customFormat="1" ht="15.75" customHeight="1"/>
    <row r="252" s="7" customFormat="1" ht="15.75" customHeight="1"/>
    <row r="253" s="7" customFormat="1" ht="15.75" customHeight="1"/>
    <row r="254" s="7" customFormat="1" ht="15.75" customHeight="1"/>
    <row r="255" s="7" customFormat="1" ht="15.75" customHeight="1"/>
    <row r="256" s="7" customFormat="1" ht="15.75" customHeight="1"/>
    <row r="257" s="7" customFormat="1" ht="15.75" customHeight="1"/>
    <row r="258" s="7" customFormat="1" ht="15.75" customHeight="1"/>
    <row r="259" s="7" customFormat="1" ht="15.75" customHeight="1"/>
    <row r="260" s="7" customFormat="1" ht="15.75" customHeight="1"/>
    <row r="261" s="7" customFormat="1" ht="15.75" customHeight="1"/>
    <row r="262" s="7" customFormat="1" ht="25.5" customHeight="1"/>
    <row r="263" s="7" customFormat="1" ht="15.75" customHeight="1"/>
    <row r="264" s="7" customFormat="1" ht="15.75" customHeight="1"/>
    <row r="265" s="7" customFormat="1" ht="44.45" customHeight="1"/>
    <row r="266" s="7" customFormat="1" ht="15.75" customHeight="1"/>
    <row r="267" s="7" customFormat="1" ht="15.75" customHeight="1"/>
    <row r="268" s="7" customFormat="1" ht="36" customHeight="1"/>
    <row r="269" s="7" customFormat="1" ht="15.75" customHeight="1"/>
    <row r="270" s="7" customFormat="1" ht="15.75" customHeight="1"/>
    <row r="271" s="8" customFormat="1" ht="15.75" customHeight="1"/>
    <row r="272" s="8" customFormat="1" ht="15.75" customHeight="1"/>
    <row r="273" s="8" customFormat="1" ht="15.75" customHeight="1"/>
    <row r="274" s="7" customFormat="1" ht="15.75" customHeight="1"/>
    <row r="275" s="7" customFormat="1" ht="15.75" customHeight="1"/>
    <row r="276" s="7" customFormat="1" ht="15.75" customHeight="1"/>
    <row r="277" s="7" customFormat="1" ht="15.75" customHeight="1"/>
    <row r="278" s="7" customFormat="1" ht="15.75" customHeight="1"/>
    <row r="279" s="7" customFormat="1" ht="15.75" customHeight="1"/>
    <row r="280" s="7" customFormat="1" ht="15.75" customHeight="1"/>
    <row r="281" s="7" customFormat="1" ht="15.75" customHeight="1"/>
    <row r="282" s="7" customFormat="1" ht="15.75" customHeight="1"/>
    <row r="283" s="7" customFormat="1" ht="15.75" customHeight="1"/>
    <row r="284" s="7" customFormat="1" ht="15.75" customHeight="1"/>
    <row r="285" s="7" customFormat="1" ht="15.75" customHeight="1"/>
    <row r="286" s="7" customFormat="1" ht="15.75" customHeight="1"/>
    <row r="287" s="7" customFormat="1" ht="15.75" customHeight="1"/>
    <row r="288" s="7" customFormat="1" ht="15.75" customHeight="1"/>
    <row r="289" s="7" customFormat="1" ht="15.75" customHeight="1"/>
    <row r="290" s="7" customFormat="1" ht="15.75" customHeight="1"/>
    <row r="291" s="7" customFormat="1" ht="15.75" customHeight="1"/>
    <row r="292" s="7" customFormat="1" ht="15.75" customHeight="1"/>
    <row r="293" s="7" customFormat="1" ht="15.75" customHeight="1"/>
    <row r="294" s="7" customFormat="1" ht="15.75" customHeight="1"/>
    <row r="295" s="7" customFormat="1" ht="15.75" customHeight="1"/>
    <row r="296" s="7" customFormat="1" ht="15.75" customHeight="1"/>
    <row r="297" s="7" customFormat="1" ht="15.75" customHeight="1"/>
    <row r="298" s="7" customFormat="1" ht="15.75" customHeight="1"/>
    <row r="299" s="7" customFormat="1" ht="15.75" customHeight="1"/>
    <row r="300" s="7" customFormat="1" ht="25.5" customHeight="1"/>
    <row r="301" s="7" customFormat="1" ht="15.75" customHeight="1"/>
    <row r="302" s="7" customFormat="1" ht="15.75" customHeight="1"/>
    <row r="303" s="7" customFormat="1" ht="46.9" customHeight="1"/>
    <row r="304" s="7" customFormat="1" ht="15.75" customHeight="1"/>
    <row r="305" s="7" customFormat="1" ht="15.75" customHeight="1"/>
    <row r="306" s="7" customFormat="1" ht="36" customHeight="1"/>
    <row r="307" s="7" customFormat="1" ht="15.75" customHeight="1"/>
    <row r="308" s="7" customFormat="1" ht="15.75" customHeight="1"/>
    <row r="309" s="8" customFormat="1" ht="15.75" customHeight="1"/>
    <row r="310" s="8" customFormat="1" ht="15.75" customHeight="1"/>
    <row r="311" s="8" customFormat="1" ht="15.75" customHeight="1"/>
    <row r="312" s="7" customFormat="1" ht="15.75" customHeight="1"/>
    <row r="313" s="7" customFormat="1" ht="15.75" customHeight="1"/>
    <row r="314" s="7" customFormat="1" ht="15.75" customHeight="1"/>
    <row r="315" s="7" customFormat="1" ht="15.75" customHeight="1"/>
    <row r="316" s="7" customFormat="1" ht="15.75" customHeight="1"/>
    <row r="317" s="7" customFormat="1" ht="15.75" customHeight="1"/>
    <row r="318" s="7" customFormat="1" ht="15.75" customHeight="1"/>
    <row r="319" s="7" customFormat="1" ht="15.75" customHeight="1"/>
    <row r="320" s="7" customFormat="1" ht="15.75" customHeight="1"/>
    <row r="321" s="7" customFormat="1" ht="15.75" customHeight="1"/>
    <row r="322" s="7" customFormat="1" ht="15.75" customHeight="1"/>
    <row r="323" s="7" customFormat="1" ht="15.75" customHeight="1"/>
    <row r="324" s="7" customFormat="1" ht="15.75" customHeight="1"/>
    <row r="325" s="7" customFormat="1" ht="15.75" customHeight="1"/>
    <row r="326" s="7" customFormat="1" ht="15.75" customHeight="1"/>
    <row r="327" s="7" customFormat="1" ht="15.75" customHeight="1"/>
    <row r="328" s="7" customFormat="1" ht="15.75" customHeight="1"/>
    <row r="329" s="7" customFormat="1" ht="15.75" customHeight="1"/>
    <row r="330" s="7" customFormat="1" ht="15.75" customHeight="1"/>
    <row r="331" s="7" customFormat="1" ht="15.75" customHeight="1"/>
    <row r="332" s="7" customFormat="1" ht="15.75" customHeight="1"/>
    <row r="333" s="7" customFormat="1" ht="15.75" customHeight="1"/>
    <row r="334" s="7" customFormat="1" ht="15.75" customHeight="1"/>
    <row r="335" s="7" customFormat="1" ht="15.75" customHeight="1"/>
    <row r="336" s="7" customFormat="1" ht="15.75" customHeight="1"/>
    <row r="337" s="7" customFormat="1" ht="15.75" customHeight="1"/>
    <row r="338" s="7" customFormat="1" ht="25.5" customHeight="1"/>
    <row r="339" s="7" customFormat="1" ht="15.75" customHeight="1"/>
    <row r="340" s="7" customFormat="1" ht="15.75" customHeight="1"/>
    <row r="341" s="7" customFormat="1" ht="51" customHeight="1"/>
    <row r="342" s="7" customFormat="1" ht="15.75" customHeight="1"/>
    <row r="343" s="7" customFormat="1" ht="15.75" customHeight="1"/>
    <row r="344" s="7" customFormat="1" ht="36" customHeight="1"/>
    <row r="345" s="7" customFormat="1" ht="15.75" customHeight="1"/>
    <row r="346" s="7" customFormat="1" ht="15.75" customHeight="1"/>
    <row r="347" s="8" customFormat="1" ht="15.75" customHeight="1"/>
    <row r="348" s="8" customFormat="1" ht="15.75" customHeight="1"/>
    <row r="349" s="8" customFormat="1" ht="15.75" customHeight="1"/>
    <row r="350" s="7" customFormat="1" ht="15.75" customHeight="1"/>
    <row r="351" s="7" customFormat="1" ht="15.75" customHeight="1"/>
    <row r="352" s="7" customFormat="1" ht="15.75" customHeight="1"/>
    <row r="353" s="7" customFormat="1" ht="15.75" customHeight="1"/>
    <row r="354" s="7" customFormat="1" ht="15.75" customHeight="1"/>
    <row r="355" s="7" customFormat="1" ht="15.75" customHeight="1"/>
    <row r="356" s="7" customFormat="1" ht="15.75" customHeight="1"/>
    <row r="357" s="7" customFormat="1" ht="15.75" customHeight="1"/>
    <row r="358" s="7" customFormat="1" ht="15.75" customHeight="1"/>
    <row r="359" s="7" customFormat="1" ht="15.75" customHeight="1"/>
    <row r="360" s="7" customFormat="1" ht="15.75" customHeight="1"/>
    <row r="361" s="7" customFormat="1" ht="15.75" customHeight="1"/>
    <row r="362" s="7" customFormat="1" ht="15.75" customHeight="1"/>
    <row r="363" s="7" customFormat="1" ht="15.75" customHeight="1"/>
    <row r="364" s="7" customFormat="1" ht="15.75" customHeight="1"/>
    <row r="365" s="7" customFormat="1" ht="15.75" customHeight="1"/>
    <row r="366" s="7" customFormat="1" ht="15.75" customHeight="1"/>
    <row r="367" s="7" customFormat="1" ht="15.75" customHeight="1"/>
    <row r="368" s="7" customFormat="1" ht="15.75" customHeight="1"/>
    <row r="369" s="7" customFormat="1" ht="15.75" customHeight="1"/>
    <row r="370" s="7" customFormat="1" ht="15.75" customHeight="1"/>
    <row r="371" s="7" customFormat="1" ht="15.75" customHeight="1"/>
    <row r="372" s="7" customFormat="1" ht="15.75" customHeight="1"/>
    <row r="373" s="7" customFormat="1" ht="15.75" customHeight="1"/>
    <row r="374" s="7" customFormat="1" ht="15.75" customHeight="1"/>
    <row r="375" s="7" customFormat="1" ht="15.75" customHeight="1"/>
    <row r="376" s="7" customFormat="1" ht="25.5" customHeight="1"/>
    <row r="377" s="7" customFormat="1" ht="15.75" customHeight="1"/>
    <row r="378" s="7" customFormat="1" ht="15.75" customHeight="1"/>
    <row r="379" s="7" customFormat="1" ht="51" customHeight="1"/>
    <row r="380" s="7" customFormat="1" ht="15.75" customHeight="1"/>
    <row r="381" s="7" customFormat="1" ht="15.75" customHeight="1"/>
    <row r="382" s="7" customFormat="1" ht="36" customHeight="1"/>
    <row r="383" s="7" customFormat="1" ht="15.75" customHeight="1"/>
    <row r="384" s="7" customFormat="1" ht="15.75" customHeight="1"/>
    <row r="385" s="8" customFormat="1" ht="15.75" customHeight="1"/>
    <row r="386" s="8" customFormat="1" ht="15.75" customHeight="1"/>
    <row r="387" s="8" customFormat="1" ht="15.75" customHeight="1"/>
    <row r="388" s="7" customFormat="1" ht="15.75" customHeight="1"/>
    <row r="389" s="7" customFormat="1" ht="15.75" customHeight="1"/>
    <row r="390" s="7" customFormat="1" ht="15.75" customHeight="1"/>
    <row r="391" s="7" customFormat="1" ht="15.75" customHeight="1"/>
    <row r="392" s="7" customFormat="1" ht="15.75" customHeight="1"/>
    <row r="393" s="7" customFormat="1" ht="15.75" customHeight="1"/>
    <row r="394" s="7" customFormat="1" ht="15.75" customHeight="1"/>
    <row r="395" s="7" customFormat="1" ht="15.75" customHeight="1"/>
    <row r="396" s="7" customFormat="1" ht="15.75" customHeight="1"/>
    <row r="397" s="7" customFormat="1" ht="15.75" customHeight="1"/>
    <row r="398" s="7" customFormat="1" ht="15.75" customHeight="1"/>
    <row r="399" s="7" customFormat="1" ht="15.75" customHeight="1"/>
    <row r="400" s="7" customFormat="1" ht="15.75" customHeight="1"/>
    <row r="401" s="7" customFormat="1" ht="15.75" customHeight="1"/>
    <row r="402" s="7" customFormat="1" ht="15.75" customHeight="1"/>
    <row r="403" s="7" customFormat="1" ht="15.75" customHeight="1"/>
    <row r="404" s="7" customFormat="1" ht="15.75" customHeight="1"/>
    <row r="405" s="7" customFormat="1" ht="15.75" customHeight="1"/>
    <row r="406" s="7" customFormat="1" ht="15.75" customHeight="1"/>
    <row r="407" s="7" customFormat="1" ht="15.75" customHeight="1"/>
    <row r="408" s="7" customFormat="1" ht="15.75" customHeight="1"/>
    <row r="409" s="7" customFormat="1" ht="15.75" customHeight="1"/>
    <row r="410" s="7" customFormat="1" ht="15.75" customHeight="1"/>
    <row r="411" s="7" customFormat="1" ht="15.75" customHeight="1"/>
    <row r="412" s="7" customFormat="1" ht="15.75" customHeight="1"/>
    <row r="413" s="7" customFormat="1" ht="15.75" customHeight="1"/>
    <row r="414" s="7" customFormat="1" ht="25.5" customHeight="1"/>
    <row r="415" s="7" customFormat="1" ht="15.75" customHeight="1"/>
    <row r="416" s="7" customFormat="1" ht="15.75" customHeight="1"/>
    <row r="417" s="7" customFormat="1" ht="61.15" customHeight="1"/>
    <row r="418" s="7" customFormat="1" ht="15.75" customHeight="1"/>
    <row r="419" s="7" customFormat="1" ht="15.75" customHeight="1"/>
    <row r="420" s="7" customFormat="1" ht="36" customHeight="1"/>
    <row r="421" s="7" customFormat="1" ht="15.75" customHeight="1"/>
    <row r="422" s="7" customFormat="1" ht="15.75" customHeight="1"/>
    <row r="423" s="8" customFormat="1" ht="15.75" customHeight="1"/>
    <row r="424" s="8" customFormat="1" ht="15.75" customHeight="1"/>
    <row r="425" s="8" customFormat="1" ht="15.75" customHeight="1"/>
    <row r="426" s="7" customFormat="1" ht="15.75" customHeight="1"/>
    <row r="427" s="7" customFormat="1" ht="15.75" customHeight="1"/>
    <row r="428" s="7" customFormat="1" ht="15.75" customHeight="1"/>
    <row r="429" s="7" customFormat="1" ht="15.75" customHeight="1"/>
    <row r="430" s="7" customFormat="1" ht="15.75" customHeight="1"/>
    <row r="431" s="7" customFormat="1" ht="15.75" customHeight="1"/>
    <row r="432" s="7" customFormat="1" ht="15.75" customHeight="1"/>
    <row r="433" s="7" customFormat="1" ht="15.75" customHeight="1"/>
    <row r="434" s="7" customFormat="1" ht="15.75" customHeight="1"/>
    <row r="435" s="7" customFormat="1" ht="15.75" customHeight="1"/>
    <row r="436" s="7" customFormat="1" ht="15.75" customHeight="1"/>
    <row r="437" s="7" customFormat="1" ht="15.75" customHeight="1"/>
    <row r="438" s="7" customFormat="1" ht="15.75" customHeight="1"/>
    <row r="439" s="7" customFormat="1" ht="15.75" customHeight="1"/>
    <row r="440" s="7" customFormat="1" ht="15.75" customHeight="1"/>
    <row r="441" s="7" customFormat="1" ht="15.75" customHeight="1"/>
    <row r="442" s="7" customFormat="1" ht="15.75" customHeight="1"/>
    <row r="443" s="7" customFormat="1" ht="15.75" customHeight="1"/>
    <row r="444" s="7" customFormat="1" ht="15.75" customHeight="1"/>
    <row r="445" s="7" customFormat="1" ht="15.75" customHeight="1"/>
    <row r="446" s="7" customFormat="1" ht="15.75" customHeight="1"/>
    <row r="447" s="7" customFormat="1" ht="15.75" customHeight="1"/>
    <row r="448" s="7" customFormat="1" ht="15.75" customHeight="1"/>
    <row r="449" s="7" customFormat="1" ht="15.75" customHeight="1"/>
    <row r="450" s="7" customFormat="1" ht="15.75" customHeight="1"/>
    <row r="451" s="7" customFormat="1" ht="15.75" customHeight="1"/>
    <row r="452" s="7" customFormat="1" ht="25.5" customHeight="1"/>
    <row r="453" s="7" customFormat="1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45" customHeight="1">
      <c r="A5" s="17" t="s">
        <v>23</v>
      </c>
      <c r="B5" s="37" t="s">
        <v>48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895892.14</v>
      </c>
      <c r="D15" s="28">
        <f>C15</f>
        <v>895892.14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895892.14</v>
      </c>
      <c r="D16" s="28">
        <f t="shared" ref="D16:D35" si="0">C16</f>
        <v>895892.14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895892.14</v>
      </c>
      <c r="D17" s="28">
        <f t="shared" si="0"/>
        <v>895892.14</v>
      </c>
      <c r="E17" s="22"/>
    </row>
    <row r="18" spans="1:5" s="12" customFormat="1">
      <c r="A18" s="29" t="s">
        <v>6</v>
      </c>
      <c r="B18" s="30">
        <v>2210</v>
      </c>
      <c r="C18" s="31">
        <f>1950+1760</f>
        <v>3710</v>
      </c>
      <c r="D18" s="31">
        <f t="shared" si="0"/>
        <v>3710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1750+1250+686.94+259.2+6427.05</f>
        <v>10373.19</v>
      </c>
      <c r="D21" s="28">
        <f t="shared" si="0"/>
        <v>10373.19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2002.91+910</f>
        <v>2912.91</v>
      </c>
      <c r="D24" s="35">
        <f t="shared" si="0"/>
        <v>2912.91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878896.04</v>
      </c>
      <c r="D25" s="28">
        <f t="shared" si="0"/>
        <v>878896.04</v>
      </c>
      <c r="E25" s="22"/>
    </row>
    <row r="26" spans="1:5">
      <c r="A26" s="25" t="s">
        <v>9</v>
      </c>
      <c r="B26" s="26">
        <v>2271</v>
      </c>
      <c r="C26" s="27">
        <f>721852.36</f>
        <v>721852.36</v>
      </c>
      <c r="D26" s="27">
        <f t="shared" si="0"/>
        <v>721852.36</v>
      </c>
      <c r="E26" s="22"/>
    </row>
    <row r="27" spans="1:5">
      <c r="A27" s="25" t="s">
        <v>10</v>
      </c>
      <c r="B27" s="26">
        <v>2272</v>
      </c>
      <c r="C27" s="27">
        <f>8510.4</f>
        <v>8510.4</v>
      </c>
      <c r="D27" s="27">
        <f t="shared" si="0"/>
        <v>8510.4</v>
      </c>
      <c r="E27" s="22"/>
    </row>
    <row r="28" spans="1:5">
      <c r="A28" s="25" t="s">
        <v>11</v>
      </c>
      <c r="B28" s="26">
        <v>2273</v>
      </c>
      <c r="C28" s="27">
        <f>146831.54</f>
        <v>146831.54</v>
      </c>
      <c r="D28" s="27">
        <f t="shared" si="0"/>
        <v>146831.54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1701.74</f>
        <v>1701.74</v>
      </c>
      <c r="D30" s="34">
        <f t="shared" si="0"/>
        <v>1701.74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10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45" customHeight="1">
      <c r="A5" s="17" t="s">
        <v>23</v>
      </c>
      <c r="B5" s="37" t="s">
        <v>49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2000319.3600000003</v>
      </c>
      <c r="D15" s="28">
        <f>C15</f>
        <v>2000319.3600000003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2000319.3600000003</v>
      </c>
      <c r="D16" s="28">
        <f t="shared" ref="D16:D35" si="0">C16</f>
        <v>2000319.3600000003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2000319.3600000003</v>
      </c>
      <c r="D17" s="28">
        <f t="shared" si="0"/>
        <v>2000319.3600000003</v>
      </c>
      <c r="E17" s="22"/>
    </row>
    <row r="18" spans="1:5" s="12" customFormat="1">
      <c r="A18" s="29" t="s">
        <v>6</v>
      </c>
      <c r="B18" s="30">
        <v>2210</v>
      </c>
      <c r="C18" s="31">
        <f>5460+6380</f>
        <v>11840</v>
      </c>
      <c r="D18" s="28">
        <f t="shared" si="0"/>
        <v>11840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2050+2275+1163.94+11868.08</f>
        <v>17357.02</v>
      </c>
      <c r="D21" s="28">
        <f t="shared" si="0"/>
        <v>17357.02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6063.35+1874.95+2145</f>
        <v>10083.299999999999</v>
      </c>
      <c r="D24" s="28">
        <f t="shared" si="0"/>
        <v>10083.299999999999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1961039.0400000003</v>
      </c>
      <c r="D25" s="28">
        <f t="shared" si="0"/>
        <v>1961039.0400000003</v>
      </c>
      <c r="E25" s="22"/>
    </row>
    <row r="26" spans="1:5">
      <c r="A26" s="25" t="s">
        <v>9</v>
      </c>
      <c r="B26" s="26">
        <v>2271</v>
      </c>
      <c r="C26" s="27">
        <f>1541456.83</f>
        <v>1541456.83</v>
      </c>
      <c r="D26" s="27">
        <f t="shared" si="0"/>
        <v>1541456.83</v>
      </c>
      <c r="E26" s="22"/>
    </row>
    <row r="27" spans="1:5">
      <c r="A27" s="25" t="s">
        <v>10</v>
      </c>
      <c r="B27" s="26">
        <v>2272</v>
      </c>
      <c r="C27" s="27">
        <f>27413.36</f>
        <v>27413.360000000001</v>
      </c>
      <c r="D27" s="27">
        <f t="shared" si="0"/>
        <v>27413.360000000001</v>
      </c>
      <c r="E27" s="22"/>
    </row>
    <row r="28" spans="1:5">
      <c r="A28" s="25" t="s">
        <v>11</v>
      </c>
      <c r="B28" s="26">
        <v>2273</v>
      </c>
      <c r="C28" s="27">
        <f>381994.61</f>
        <v>381994.61</v>
      </c>
      <c r="D28" s="27">
        <f t="shared" si="0"/>
        <v>381994.61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5672.51+4501.73</f>
        <v>10174.24</v>
      </c>
      <c r="D30" s="34">
        <f t="shared" si="0"/>
        <v>10174.24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45" customHeight="1">
      <c r="A5" s="17" t="s">
        <v>23</v>
      </c>
      <c r="B5" s="37" t="s">
        <v>50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340574.22000000003</v>
      </c>
      <c r="D15" s="28">
        <f>C15</f>
        <v>340574.22000000003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340574.22000000003</v>
      </c>
      <c r="D16" s="28">
        <f t="shared" ref="D16:D35" si="0">C16</f>
        <v>340574.22000000003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340574.22000000003</v>
      </c>
      <c r="D17" s="28">
        <f t="shared" si="0"/>
        <v>340574.22000000003</v>
      </c>
      <c r="E17" s="22"/>
    </row>
    <row r="18" spans="1:5" s="12" customFormat="1">
      <c r="A18" s="29" t="s">
        <v>6</v>
      </c>
      <c r="B18" s="30">
        <v>2210</v>
      </c>
      <c r="C18" s="31">
        <f>780+880</f>
        <v>1660</v>
      </c>
      <c r="D18" s="28">
        <f t="shared" si="0"/>
        <v>1660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1750+1025+213.96+334.08+7192.05</f>
        <v>10515.09</v>
      </c>
      <c r="D21" s="28">
        <f t="shared" si="0"/>
        <v>10515.09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2481.3+1220.23+682.5</f>
        <v>4384.0300000000007</v>
      </c>
      <c r="D24" s="28">
        <f t="shared" si="0"/>
        <v>4384.0300000000007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324015.10000000003</v>
      </c>
      <c r="D25" s="28">
        <f t="shared" si="0"/>
        <v>324015.10000000003</v>
      </c>
      <c r="E25" s="22"/>
    </row>
    <row r="26" spans="1:5">
      <c r="A26" s="25" t="s">
        <v>9</v>
      </c>
      <c r="B26" s="26">
        <v>2271</v>
      </c>
      <c r="C26" s="27">
        <f>274244.52</f>
        <v>274244.52</v>
      </c>
      <c r="D26" s="27">
        <f t="shared" si="0"/>
        <v>274244.52</v>
      </c>
      <c r="E26" s="22"/>
    </row>
    <row r="27" spans="1:5">
      <c r="A27" s="25" t="s">
        <v>10</v>
      </c>
      <c r="B27" s="26">
        <v>2272</v>
      </c>
      <c r="C27" s="27">
        <f>5038.39</f>
        <v>5038.3900000000003</v>
      </c>
      <c r="D27" s="27">
        <f t="shared" si="0"/>
        <v>5038.3900000000003</v>
      </c>
      <c r="E27" s="22"/>
    </row>
    <row r="28" spans="1:5">
      <c r="A28" s="25" t="s">
        <v>11</v>
      </c>
      <c r="B28" s="26">
        <v>2273</v>
      </c>
      <c r="C28" s="27">
        <f>40211.2</f>
        <v>40211.199999999997</v>
      </c>
      <c r="D28" s="27">
        <f t="shared" si="0"/>
        <v>40211.199999999997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2410.8+2110.19</f>
        <v>4520.99</v>
      </c>
      <c r="D30" s="34">
        <f t="shared" si="0"/>
        <v>4520.99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46.5" customHeight="1">
      <c r="A5" s="17" t="s">
        <v>23</v>
      </c>
      <c r="B5" s="37" t="s">
        <v>51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4230885.24</v>
      </c>
      <c r="D15" s="28">
        <f>C15</f>
        <v>4230885.24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4230885.24</v>
      </c>
      <c r="D16" s="28">
        <f t="shared" ref="D16:D35" si="0">C16</f>
        <v>4230885.24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4230885.24</v>
      </c>
      <c r="D17" s="28">
        <f t="shared" si="0"/>
        <v>4230885.24</v>
      </c>
      <c r="E17" s="22"/>
    </row>
    <row r="18" spans="1:5" s="12" customFormat="1">
      <c r="A18" s="29" t="s">
        <v>6</v>
      </c>
      <c r="B18" s="30">
        <v>2210</v>
      </c>
      <c r="C18" s="31">
        <f>5460+6380</f>
        <v>11840</v>
      </c>
      <c r="D18" s="28">
        <f t="shared" si="0"/>
        <v>11840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2050+2358+2900+630+3658.74+3666.36+16188.08+75</f>
        <v>31526.18</v>
      </c>
      <c r="D21" s="28">
        <f t="shared" si="0"/>
        <v>31526.18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5656.89+4905.68+19998+9999+1267.5</f>
        <v>41827.07</v>
      </c>
      <c r="D24" s="28">
        <f t="shared" si="0"/>
        <v>41827.07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4145691.99</v>
      </c>
      <c r="D25" s="28">
        <f t="shared" si="0"/>
        <v>4145691.99</v>
      </c>
      <c r="E25" s="22"/>
    </row>
    <row r="26" spans="1:5">
      <c r="A26" s="25" t="s">
        <v>9</v>
      </c>
      <c r="B26" s="26">
        <v>2271</v>
      </c>
      <c r="C26" s="27">
        <f>3244668.83</f>
        <v>3244668.83</v>
      </c>
      <c r="D26" s="27">
        <f t="shared" si="0"/>
        <v>3244668.83</v>
      </c>
      <c r="E26" s="22"/>
    </row>
    <row r="27" spans="1:5">
      <c r="A27" s="25" t="s">
        <v>10</v>
      </c>
      <c r="B27" s="26">
        <v>2272</v>
      </c>
      <c r="C27" s="27">
        <f>99741.33</f>
        <v>99741.33</v>
      </c>
      <c r="D27" s="27">
        <f t="shared" si="0"/>
        <v>99741.33</v>
      </c>
      <c r="E27" s="22"/>
    </row>
    <row r="28" spans="1:5">
      <c r="A28" s="25" t="s">
        <v>11</v>
      </c>
      <c r="B28" s="26">
        <v>2273</v>
      </c>
      <c r="C28" s="27">
        <f>788261.21</f>
        <v>788261.21</v>
      </c>
      <c r="D28" s="27">
        <f t="shared" si="0"/>
        <v>788261.21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4963.42+2206.1+4795.91+1055.19</f>
        <v>13020.62</v>
      </c>
      <c r="D30" s="34">
        <f t="shared" si="0"/>
        <v>13020.62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56.25" customHeight="1">
      <c r="A5" s="17" t="s">
        <v>23</v>
      </c>
      <c r="B5" s="37" t="s">
        <v>52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981844.06</v>
      </c>
      <c r="D15" s="28">
        <f>C15</f>
        <v>981844.06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981844.06</v>
      </c>
      <c r="D16" s="28">
        <f t="shared" ref="D16:D35" si="0">C16</f>
        <v>981844.06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981844.06</v>
      </c>
      <c r="D17" s="28">
        <f t="shared" si="0"/>
        <v>981844.06</v>
      </c>
      <c r="E17" s="22"/>
    </row>
    <row r="18" spans="1:5" s="12" customFormat="1">
      <c r="A18" s="29" t="s">
        <v>6</v>
      </c>
      <c r="B18" s="30">
        <v>2210</v>
      </c>
      <c r="C18" s="31">
        <f>3120+2550</f>
        <v>5670</v>
      </c>
      <c r="D18" s="28">
        <f t="shared" si="0"/>
        <v>5670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1750+1500+1876.98+6382.05</f>
        <v>11509.029999999999</v>
      </c>
      <c r="D21" s="28">
        <f t="shared" si="0"/>
        <v>11509.029999999999</v>
      </c>
      <c r="E21" s="22"/>
    </row>
    <row r="22" spans="1:5">
      <c r="A22" s="23" t="s">
        <v>36</v>
      </c>
      <c r="B22" s="24">
        <v>2240</v>
      </c>
      <c r="C22" s="35">
        <f>49900</f>
        <v>49900</v>
      </c>
      <c r="D22" s="28">
        <f t="shared" si="0"/>
        <v>49900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4746.28+1495</f>
        <v>6241.28</v>
      </c>
      <c r="D24" s="28">
        <f t="shared" si="0"/>
        <v>6241.28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908523.75</v>
      </c>
      <c r="D25" s="28">
        <f t="shared" si="0"/>
        <v>908523.75</v>
      </c>
      <c r="E25" s="22"/>
    </row>
    <row r="26" spans="1:5">
      <c r="A26" s="25" t="s">
        <v>9</v>
      </c>
      <c r="B26" s="26">
        <v>2271</v>
      </c>
      <c r="C26" s="27">
        <f>828741.95</f>
        <v>828741.95</v>
      </c>
      <c r="D26" s="27">
        <f t="shared" si="0"/>
        <v>828741.95</v>
      </c>
      <c r="E26" s="22"/>
    </row>
    <row r="27" spans="1:5">
      <c r="A27" s="25" t="s">
        <v>10</v>
      </c>
      <c r="B27" s="26">
        <v>2272</v>
      </c>
      <c r="C27" s="27">
        <f>18301.3</f>
        <v>18301.3</v>
      </c>
      <c r="D27" s="27">
        <f t="shared" si="0"/>
        <v>18301.3</v>
      </c>
      <c r="E27" s="22"/>
    </row>
    <row r="28" spans="1:5">
      <c r="A28" s="25" t="s">
        <v>11</v>
      </c>
      <c r="B28" s="26">
        <v>2273</v>
      </c>
      <c r="C28" s="27">
        <f>58644.26</f>
        <v>58644.26</v>
      </c>
      <c r="D28" s="27">
        <f t="shared" si="0"/>
        <v>58644.26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2836.24</f>
        <v>2836.24</v>
      </c>
      <c r="D30" s="34">
        <f t="shared" si="0"/>
        <v>2836.24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9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7.5" customHeight="1">
      <c r="A5" s="17" t="s">
        <v>23</v>
      </c>
      <c r="B5" s="37" t="s">
        <v>53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1214775.6900000002</v>
      </c>
      <c r="D15" s="28">
        <f>C15</f>
        <v>1214775.6900000002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1214775.6900000002</v>
      </c>
      <c r="D16" s="28">
        <f t="shared" ref="D16:D35" si="0">C16</f>
        <v>1214775.6900000002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1214775.6900000002</v>
      </c>
      <c r="D17" s="28">
        <f t="shared" si="0"/>
        <v>1214775.6900000002</v>
      </c>
      <c r="E17" s="22"/>
    </row>
    <row r="18" spans="1:5" s="12" customFormat="1">
      <c r="A18" s="29" t="s">
        <v>6</v>
      </c>
      <c r="B18" s="30">
        <v>2210</v>
      </c>
      <c r="C18" s="31">
        <f>3900+3520</f>
        <v>7420</v>
      </c>
      <c r="D18" s="28">
        <f t="shared" si="0"/>
        <v>7420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2050+2475+2054.94+7413.08</f>
        <v>13993.02</v>
      </c>
      <c r="D21" s="28">
        <f t="shared" si="0"/>
        <v>13993.02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6552.4+1137.5</f>
        <v>7689.9</v>
      </c>
      <c r="D24" s="28">
        <f t="shared" si="0"/>
        <v>7689.9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1185672.7700000003</v>
      </c>
      <c r="D25" s="28">
        <f t="shared" si="0"/>
        <v>1185672.7700000003</v>
      </c>
      <c r="E25" s="22"/>
    </row>
    <row r="26" spans="1:5">
      <c r="A26" s="25" t="s">
        <v>9</v>
      </c>
      <c r="B26" s="26">
        <v>2271</v>
      </c>
      <c r="C26" s="27">
        <f>1080892.83</f>
        <v>1080892.83</v>
      </c>
      <c r="D26" s="27">
        <f t="shared" si="0"/>
        <v>1080892.83</v>
      </c>
      <c r="E26" s="22"/>
    </row>
    <row r="27" spans="1:5">
      <c r="A27" s="25" t="s">
        <v>10</v>
      </c>
      <c r="B27" s="26">
        <v>2272</v>
      </c>
      <c r="C27" s="27">
        <f>11489.04</f>
        <v>11489.04</v>
      </c>
      <c r="D27" s="27">
        <f t="shared" si="0"/>
        <v>11489.04</v>
      </c>
      <c r="E27" s="22"/>
    </row>
    <row r="28" spans="1:5">
      <c r="A28" s="25" t="s">
        <v>11</v>
      </c>
      <c r="B28" s="26">
        <v>2273</v>
      </c>
      <c r="C28" s="27">
        <f>87902.04</f>
        <v>87902.04</v>
      </c>
      <c r="D28" s="27">
        <f t="shared" si="0"/>
        <v>87902.04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5388.86</f>
        <v>5388.86</v>
      </c>
      <c r="D30" s="34">
        <f t="shared" si="0"/>
        <v>5388.86</v>
      </c>
      <c r="E30" s="22"/>
    </row>
    <row r="31" spans="1:5" s="11" customFormat="1">
      <c r="A31" s="23" t="s">
        <v>13</v>
      </c>
      <c r="B31" s="24">
        <v>2700</v>
      </c>
      <c r="C31" s="28">
        <f>C32</f>
        <v>0</v>
      </c>
      <c r="D31" s="28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7.5" customHeight="1">
      <c r="A5" s="17" t="s">
        <v>23</v>
      </c>
      <c r="B5" s="37" t="s">
        <v>54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1556281.1800000002</v>
      </c>
      <c r="D15" s="28">
        <f>C15</f>
        <v>1556281.1800000002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1556281.1800000002</v>
      </c>
      <c r="D16" s="28">
        <f t="shared" ref="D16:D35" si="0">C16</f>
        <v>1556281.1800000002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1556281.1800000002</v>
      </c>
      <c r="D17" s="28">
        <f t="shared" si="0"/>
        <v>1556281.1800000002</v>
      </c>
      <c r="E17" s="22"/>
    </row>
    <row r="18" spans="1:5" s="12" customFormat="1">
      <c r="A18" s="29" t="s">
        <v>6</v>
      </c>
      <c r="B18" s="30">
        <v>2210</v>
      </c>
      <c r="C18" s="31">
        <f>1560+880</f>
        <v>2440</v>
      </c>
      <c r="D18" s="28">
        <f t="shared" si="0"/>
        <v>2440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2050+1975+650.94+10158.08</f>
        <v>14834.02</v>
      </c>
      <c r="D21" s="28">
        <f t="shared" si="0"/>
        <v>14834.02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7530.76+1109.7</f>
        <v>8640.4600000000009</v>
      </c>
      <c r="D24" s="28">
        <f t="shared" si="0"/>
        <v>8640.4600000000009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1530366.7000000002</v>
      </c>
      <c r="D25" s="28">
        <f t="shared" si="0"/>
        <v>1530366.7000000002</v>
      </c>
      <c r="E25" s="22"/>
    </row>
    <row r="26" spans="1:5">
      <c r="A26" s="25" t="s">
        <v>9</v>
      </c>
      <c r="B26" s="26">
        <v>2271</v>
      </c>
      <c r="C26" s="27">
        <f>1419803.8</f>
        <v>1419803.8</v>
      </c>
      <c r="D26" s="27">
        <f t="shared" si="0"/>
        <v>1419803.8</v>
      </c>
      <c r="E26" s="22"/>
    </row>
    <row r="27" spans="1:5">
      <c r="A27" s="25" t="s">
        <v>10</v>
      </c>
      <c r="B27" s="26">
        <v>2272</v>
      </c>
      <c r="C27" s="27">
        <f>9226.85</f>
        <v>9226.85</v>
      </c>
      <c r="D27" s="27">
        <f t="shared" si="0"/>
        <v>9226.85</v>
      </c>
      <c r="E27" s="22"/>
    </row>
    <row r="28" spans="1:5">
      <c r="A28" s="25" t="s">
        <v>11</v>
      </c>
      <c r="B28" s="26">
        <v>2273</v>
      </c>
      <c r="C28" s="27">
        <f>99492.49</f>
        <v>99492.49</v>
      </c>
      <c r="D28" s="27">
        <f t="shared" si="0"/>
        <v>99492.49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1843.56</f>
        <v>1843.56</v>
      </c>
      <c r="D30" s="34">
        <f t="shared" si="0"/>
        <v>1843.56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55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2276401.9499999997</v>
      </c>
      <c r="D15" s="28">
        <f>C15</f>
        <v>2276401.9499999997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2276401.9499999997</v>
      </c>
      <c r="D16" s="28">
        <f t="shared" ref="D16:D35" si="0">C16</f>
        <v>2276401.9499999997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2276401.9499999997</v>
      </c>
      <c r="D17" s="28">
        <f t="shared" si="0"/>
        <v>2276401.9499999997</v>
      </c>
      <c r="E17" s="22"/>
    </row>
    <row r="18" spans="1:5" s="12" customFormat="1">
      <c r="A18" s="29" t="s">
        <v>6</v>
      </c>
      <c r="B18" s="30">
        <v>2210</v>
      </c>
      <c r="C18" s="31">
        <f>1560+880</f>
        <v>2440</v>
      </c>
      <c r="D18" s="31">
        <f t="shared" si="0"/>
        <v>2440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2050+3075+1730.94+7413.08</f>
        <v>14269.02</v>
      </c>
      <c r="D21" s="28">
        <f t="shared" si="0"/>
        <v>14269.02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6665.34+2502.5</f>
        <v>9167.84</v>
      </c>
      <c r="D24" s="35">
        <f t="shared" si="0"/>
        <v>9167.84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2250525.09</v>
      </c>
      <c r="D25" s="28">
        <f t="shared" si="0"/>
        <v>2250525.09</v>
      </c>
      <c r="E25" s="22"/>
    </row>
    <row r="26" spans="1:5">
      <c r="A26" s="25" t="s">
        <v>9</v>
      </c>
      <c r="B26" s="26">
        <v>2271</v>
      </c>
      <c r="C26" s="27">
        <f>1892067.31</f>
        <v>1892067.31</v>
      </c>
      <c r="D26" s="27">
        <f t="shared" si="0"/>
        <v>1892067.31</v>
      </c>
      <c r="E26" s="22"/>
    </row>
    <row r="27" spans="1:5">
      <c r="A27" s="25" t="s">
        <v>10</v>
      </c>
      <c r="B27" s="26">
        <v>2272</v>
      </c>
      <c r="C27" s="27">
        <f>15734.93</f>
        <v>15734.93</v>
      </c>
      <c r="D27" s="27">
        <f t="shared" si="0"/>
        <v>15734.93</v>
      </c>
      <c r="E27" s="22"/>
    </row>
    <row r="28" spans="1:5">
      <c r="A28" s="25" t="s">
        <v>11</v>
      </c>
      <c r="B28" s="26">
        <v>2273</v>
      </c>
      <c r="C28" s="27">
        <f>337901.24</f>
        <v>337901.24</v>
      </c>
      <c r="D28" s="27">
        <f t="shared" si="0"/>
        <v>337901.24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4821.61</f>
        <v>4821.6099999999997</v>
      </c>
      <c r="D30" s="34">
        <f t="shared" si="0"/>
        <v>4821.6099999999997</v>
      </c>
      <c r="E30" s="22"/>
    </row>
    <row r="31" spans="1:5" s="11" customFormat="1">
      <c r="A31" s="23" t="s">
        <v>13</v>
      </c>
      <c r="B31" s="24">
        <v>2700</v>
      </c>
      <c r="C31" s="28">
        <f>C32</f>
        <v>0</v>
      </c>
      <c r="D31" s="28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4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56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1801830.86</v>
      </c>
      <c r="D15" s="28">
        <f>C15</f>
        <v>1801830.86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1801830.86</v>
      </c>
      <c r="D16" s="28">
        <f t="shared" ref="D16:D35" si="0">C16</f>
        <v>1801830.86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1801830.86</v>
      </c>
      <c r="D17" s="28">
        <f t="shared" si="0"/>
        <v>1801830.86</v>
      </c>
      <c r="E17" s="22"/>
    </row>
    <row r="18" spans="1:5" s="12" customFormat="1">
      <c r="A18" s="29" t="s">
        <v>6</v>
      </c>
      <c r="B18" s="30">
        <v>2210</v>
      </c>
      <c r="C18" s="31">
        <f>2340+3080</f>
        <v>5420</v>
      </c>
      <c r="D18" s="28">
        <f t="shared" si="0"/>
        <v>5420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1750+850+1190.94+1764+13304.11</f>
        <v>18859.050000000003</v>
      </c>
      <c r="D21" s="28">
        <f t="shared" si="0"/>
        <v>18859.050000000003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5506.26+1731.93+1267.5</f>
        <v>8505.69</v>
      </c>
      <c r="D24" s="28">
        <f t="shared" si="0"/>
        <v>8505.69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1769046.12</v>
      </c>
      <c r="D25" s="28">
        <f t="shared" si="0"/>
        <v>1769046.12</v>
      </c>
      <c r="E25" s="22"/>
    </row>
    <row r="26" spans="1:5">
      <c r="A26" s="25" t="s">
        <v>9</v>
      </c>
      <c r="B26" s="26">
        <v>2271</v>
      </c>
      <c r="C26" s="27">
        <f>1383229.12</f>
        <v>1383229.12</v>
      </c>
      <c r="D26" s="27">
        <f t="shared" si="0"/>
        <v>1383229.12</v>
      </c>
      <c r="E26" s="22"/>
    </row>
    <row r="27" spans="1:5">
      <c r="A27" s="25" t="s">
        <v>10</v>
      </c>
      <c r="B27" s="26">
        <v>2272</v>
      </c>
      <c r="C27" s="27">
        <f>40989.07</f>
        <v>40989.07</v>
      </c>
      <c r="D27" s="27">
        <f t="shared" si="0"/>
        <v>40989.07</v>
      </c>
      <c r="E27" s="22"/>
    </row>
    <row r="28" spans="1:5">
      <c r="A28" s="25" t="s">
        <v>11</v>
      </c>
      <c r="B28" s="26">
        <v>2273</v>
      </c>
      <c r="C28" s="27">
        <f>340289.95</f>
        <v>340289.95</v>
      </c>
      <c r="D28" s="27">
        <f t="shared" si="0"/>
        <v>340289.95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4537.98</f>
        <v>4537.9799999999996</v>
      </c>
      <c r="D30" s="34">
        <f t="shared" si="0"/>
        <v>4537.9799999999996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57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1494094.2100000002</v>
      </c>
      <c r="D15" s="28">
        <f>C15</f>
        <v>1494094.2100000002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1494094.2100000002</v>
      </c>
      <c r="D16" s="28">
        <f t="shared" ref="D16:D34" si="0">C16</f>
        <v>1494094.2100000002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1494094.2100000002</v>
      </c>
      <c r="D17" s="28">
        <f t="shared" si="0"/>
        <v>1494094.2100000002</v>
      </c>
      <c r="E17" s="22"/>
    </row>
    <row r="18" spans="1:5" s="12" customFormat="1">
      <c r="A18" s="29" t="s">
        <v>6</v>
      </c>
      <c r="B18" s="30">
        <v>2210</v>
      </c>
      <c r="C18" s="31">
        <f>4680+5280</f>
        <v>9960</v>
      </c>
      <c r="D18" s="28">
        <f t="shared" si="0"/>
        <v>9960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2050+2475+2810.94+9385.14</f>
        <v>16721.080000000002</v>
      </c>
      <c r="D21" s="28">
        <f t="shared" si="0"/>
        <v>16721.080000000002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2620.45+1397.5</f>
        <v>4017.95</v>
      </c>
      <c r="D24" s="28">
        <f t="shared" si="0"/>
        <v>4017.95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1463395.1800000002</v>
      </c>
      <c r="D25" s="28">
        <f t="shared" si="0"/>
        <v>1463395.1800000002</v>
      </c>
      <c r="E25" s="22"/>
    </row>
    <row r="26" spans="1:5">
      <c r="A26" s="25" t="s">
        <v>9</v>
      </c>
      <c r="B26" s="26">
        <v>2271</v>
      </c>
      <c r="C26" s="27">
        <f>1304177.34</f>
        <v>1304177.3400000001</v>
      </c>
      <c r="D26" s="27">
        <f t="shared" si="0"/>
        <v>1304177.3400000001</v>
      </c>
      <c r="E26" s="22"/>
    </row>
    <row r="27" spans="1:5">
      <c r="A27" s="25" t="s">
        <v>10</v>
      </c>
      <c r="B27" s="26">
        <v>2272</v>
      </c>
      <c r="C27" s="27">
        <f>24169.25</f>
        <v>24169.25</v>
      </c>
      <c r="D27" s="27">
        <f t="shared" si="0"/>
        <v>24169.25</v>
      </c>
      <c r="E27" s="22"/>
    </row>
    <row r="28" spans="1:5">
      <c r="A28" s="25" t="s">
        <v>11</v>
      </c>
      <c r="B28" s="26">
        <v>2273</v>
      </c>
      <c r="C28" s="27">
        <f>129234.3</f>
        <v>129234.3</v>
      </c>
      <c r="D28" s="27">
        <f t="shared" si="0"/>
        <v>129234.3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5814.29</f>
        <v>5814.29</v>
      </c>
      <c r="D30" s="34">
        <f t="shared" si="0"/>
        <v>5814.29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>C35</f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80" zoomScaleSheetLayoutView="100" workbookViewId="0">
      <selection activeCell="C18" sqref="C18:C25"/>
    </sheetView>
  </sheetViews>
  <sheetFormatPr defaultColWidth="14.42578125" defaultRowHeight="15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40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1427624.3099999998</v>
      </c>
      <c r="D15" s="28">
        <f>C15</f>
        <v>1427624.3099999998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1427624.3099999998</v>
      </c>
      <c r="D16" s="28">
        <f t="shared" ref="D16:D35" si="0">C16</f>
        <v>1427624.3099999998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1427624.3099999998</v>
      </c>
      <c r="D17" s="28">
        <f t="shared" si="0"/>
        <v>1427624.3099999998</v>
      </c>
      <c r="E17" s="22"/>
    </row>
    <row r="18" spans="1:5" s="12" customFormat="1">
      <c r="A18" s="29" t="s">
        <v>6</v>
      </c>
      <c r="B18" s="30">
        <v>2210</v>
      </c>
      <c r="C18" s="31">
        <f>1560+880</f>
        <v>2440</v>
      </c>
      <c r="D18" s="31">
        <f t="shared" si="0"/>
        <v>2440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28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2050+2200+2018.94+12361.87</f>
        <v>18630.810000000001</v>
      </c>
      <c r="D21" s="28">
        <f t="shared" si="0"/>
        <v>18630.810000000001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6379.09+1592.5</f>
        <v>7971.59</v>
      </c>
      <c r="D24" s="35">
        <f t="shared" si="0"/>
        <v>7971.59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1398581.91</v>
      </c>
      <c r="D25" s="28">
        <f t="shared" si="0"/>
        <v>1398581.91</v>
      </c>
      <c r="E25" s="22"/>
    </row>
    <row r="26" spans="1:5">
      <c r="A26" s="25" t="s">
        <v>9</v>
      </c>
      <c r="B26" s="26">
        <v>2271</v>
      </c>
      <c r="C26" s="27">
        <f>1224977.14</f>
        <v>1224977.1399999999</v>
      </c>
      <c r="D26" s="27">
        <f t="shared" si="0"/>
        <v>1224977.1399999999</v>
      </c>
      <c r="E26" s="22"/>
    </row>
    <row r="27" spans="1:5">
      <c r="A27" s="25" t="s">
        <v>10</v>
      </c>
      <c r="B27" s="26">
        <v>2272</v>
      </c>
      <c r="C27" s="27">
        <f>11697.94</f>
        <v>11697.94</v>
      </c>
      <c r="D27" s="27">
        <f t="shared" si="0"/>
        <v>11697.94</v>
      </c>
      <c r="E27" s="22"/>
    </row>
    <row r="28" spans="1:5">
      <c r="A28" s="25" t="s">
        <v>11</v>
      </c>
      <c r="B28" s="26">
        <v>2273</v>
      </c>
      <c r="C28" s="27">
        <f>157368.85</f>
        <v>157368.85</v>
      </c>
      <c r="D28" s="27">
        <f t="shared" si="0"/>
        <v>157368.85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3119.86+1418.12</f>
        <v>4537.9799999999996</v>
      </c>
      <c r="D30" s="34">
        <f t="shared" si="0"/>
        <v>4537.9799999999996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 ht="15.75" thickBot="1">
      <c r="A35" s="6" t="s">
        <v>18</v>
      </c>
      <c r="B35" s="4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62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1183630.6000000001</v>
      </c>
      <c r="D15" s="28">
        <f>C15</f>
        <v>1183630.6000000001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1183630.6000000001</v>
      </c>
      <c r="D16" s="28">
        <f t="shared" ref="D16:D35" si="0">C16</f>
        <v>1183630.6000000001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1183630.6000000001</v>
      </c>
      <c r="D17" s="28">
        <f t="shared" si="0"/>
        <v>1183630.6000000001</v>
      </c>
      <c r="E17" s="22"/>
    </row>
    <row r="18" spans="1:5" s="12" customFormat="1">
      <c r="A18" s="29" t="s">
        <v>6</v>
      </c>
      <c r="B18" s="30">
        <v>2210</v>
      </c>
      <c r="C18" s="31">
        <f>780+880</f>
        <v>1660</v>
      </c>
      <c r="D18" s="28">
        <f t="shared" si="0"/>
        <v>1660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>
        <f>74100</f>
        <v>74100</v>
      </c>
      <c r="D20" s="28">
        <f t="shared" si="0"/>
        <v>74100</v>
      </c>
      <c r="E20" s="22"/>
    </row>
    <row r="21" spans="1:5" s="12" customFormat="1">
      <c r="A21" s="23" t="s">
        <v>7</v>
      </c>
      <c r="B21" s="24">
        <v>2240</v>
      </c>
      <c r="C21" s="28">
        <f>1300+345.07+1190.94+7368.08</f>
        <v>10204.09</v>
      </c>
      <c r="D21" s="28">
        <f t="shared" si="0"/>
        <v>10204.09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7634.68+552.5</f>
        <v>8187.18</v>
      </c>
      <c r="D24" s="28">
        <f t="shared" si="0"/>
        <v>8187.18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1089479.33</v>
      </c>
      <c r="D25" s="28">
        <f t="shared" si="0"/>
        <v>1089479.33</v>
      </c>
      <c r="E25" s="22"/>
    </row>
    <row r="26" spans="1:5">
      <c r="A26" s="25" t="s">
        <v>9</v>
      </c>
      <c r="B26" s="26">
        <v>2271</v>
      </c>
      <c r="C26" s="27">
        <f>834538.91</f>
        <v>834538.91</v>
      </c>
      <c r="D26" s="27">
        <f t="shared" si="0"/>
        <v>834538.91</v>
      </c>
      <c r="E26" s="22"/>
    </row>
    <row r="27" spans="1:5">
      <c r="A27" s="25" t="s">
        <v>10</v>
      </c>
      <c r="B27" s="26">
        <v>2272</v>
      </c>
      <c r="C27" s="27">
        <f>52418.78</f>
        <v>52418.78</v>
      </c>
      <c r="D27" s="27">
        <f t="shared" si="0"/>
        <v>52418.78</v>
      </c>
      <c r="E27" s="22"/>
    </row>
    <row r="28" spans="1:5">
      <c r="A28" s="25" t="s">
        <v>11</v>
      </c>
      <c r="B28" s="26">
        <v>2273</v>
      </c>
      <c r="C28" s="27">
        <f>196281.91</f>
        <v>196281.91</v>
      </c>
      <c r="D28" s="27">
        <f t="shared" si="0"/>
        <v>196281.91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6239.73</f>
        <v>6239.73</v>
      </c>
      <c r="D30" s="34">
        <f t="shared" si="0"/>
        <v>6239.73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 ht="15.75" thickBot="1">
      <c r="A35" s="6" t="s">
        <v>18</v>
      </c>
      <c r="B35" s="4">
        <v>3130</v>
      </c>
      <c r="C35" s="14"/>
      <c r="D35" s="14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58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1070569.0799999998</v>
      </c>
      <c r="D15" s="28">
        <f>C15</f>
        <v>1070569.0799999998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1070569.0799999998</v>
      </c>
      <c r="D16" s="28">
        <f t="shared" ref="D16:D35" si="0">C16</f>
        <v>1070569.0799999998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1070569.0799999998</v>
      </c>
      <c r="D17" s="28">
        <f t="shared" si="0"/>
        <v>1070569.0799999998</v>
      </c>
      <c r="E17" s="22"/>
    </row>
    <row r="18" spans="1:5" s="12" customFormat="1">
      <c r="A18" s="29" t="s">
        <v>6</v>
      </c>
      <c r="B18" s="30">
        <v>2210</v>
      </c>
      <c r="C18" s="31">
        <f>3900+3600</f>
        <v>7500</v>
      </c>
      <c r="D18" s="28">
        <f t="shared" si="0"/>
        <v>7500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2050+2225+2025+17840.79+1064.94+19281.16</f>
        <v>44486.89</v>
      </c>
      <c r="D21" s="28">
        <f t="shared" si="0"/>
        <v>44486.89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6064.26+910</f>
        <v>6974.26</v>
      </c>
      <c r="D24" s="28">
        <f t="shared" si="0"/>
        <v>6974.26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1011607.9299999999</v>
      </c>
      <c r="D25" s="28">
        <f t="shared" si="0"/>
        <v>1011607.9299999999</v>
      </c>
      <c r="E25" s="22"/>
    </row>
    <row r="26" spans="1:5">
      <c r="A26" s="25" t="s">
        <v>9</v>
      </c>
      <c r="B26" s="26">
        <v>2271</v>
      </c>
      <c r="C26" s="27">
        <f>29587.15</f>
        <v>29587.15</v>
      </c>
      <c r="D26" s="27">
        <f t="shared" si="0"/>
        <v>29587.15</v>
      </c>
      <c r="E26" s="22"/>
    </row>
    <row r="27" spans="1:5">
      <c r="A27" s="25" t="s">
        <v>10</v>
      </c>
      <c r="B27" s="26">
        <v>2272</v>
      </c>
      <c r="C27" s="27">
        <v>17450.88</v>
      </c>
      <c r="D27" s="27">
        <f t="shared" si="0"/>
        <v>17450.88</v>
      </c>
      <c r="E27" s="22"/>
    </row>
    <row r="28" spans="1:5">
      <c r="A28" s="25" t="s">
        <v>11</v>
      </c>
      <c r="B28" s="26">
        <v>2273</v>
      </c>
      <c r="C28" s="27">
        <f>239396.57</f>
        <v>239396.57</v>
      </c>
      <c r="D28" s="27">
        <f t="shared" si="0"/>
        <v>239396.57</v>
      </c>
      <c r="E28" s="22"/>
    </row>
    <row r="29" spans="1:5">
      <c r="A29" s="25" t="s">
        <v>12</v>
      </c>
      <c r="B29" s="26">
        <v>2274</v>
      </c>
      <c r="C29" s="27">
        <f>718933.61</f>
        <v>718933.61</v>
      </c>
      <c r="D29" s="27">
        <f t="shared" si="0"/>
        <v>718933.61</v>
      </c>
      <c r="E29" s="22"/>
    </row>
    <row r="30" spans="1:5">
      <c r="A30" s="25" t="s">
        <v>8</v>
      </c>
      <c r="B30" s="26">
        <v>2275</v>
      </c>
      <c r="C30" s="34">
        <f>3119.86+3119.86</f>
        <v>6239.72</v>
      </c>
      <c r="D30" s="34">
        <f t="shared" si="0"/>
        <v>6239.72</v>
      </c>
      <c r="E30" s="22"/>
    </row>
    <row r="31" spans="1:5" s="11" customFormat="1">
      <c r="A31" s="23" t="s">
        <v>13</v>
      </c>
      <c r="B31" s="24">
        <v>2700</v>
      </c>
      <c r="C31" s="28">
        <f>C32</f>
        <v>0</v>
      </c>
      <c r="D31" s="28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40"/>
      <c r="C1" s="40"/>
      <c r="D1" s="40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59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970615.3</v>
      </c>
      <c r="D15" s="28">
        <f>C15</f>
        <v>970615.3</v>
      </c>
      <c r="E15" s="22"/>
    </row>
    <row r="16" spans="1:5" s="9" customFormat="1" ht="24">
      <c r="A16" s="26" t="s">
        <v>19</v>
      </c>
      <c r="B16" s="24">
        <v>2000</v>
      </c>
      <c r="C16" s="28">
        <f>C17</f>
        <v>970615.3</v>
      </c>
      <c r="D16" s="28">
        <f t="shared" ref="D16:D35" si="0">C16</f>
        <v>970615.3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970615.3</v>
      </c>
      <c r="D17" s="28">
        <f t="shared" si="0"/>
        <v>970615.3</v>
      </c>
      <c r="E17" s="22"/>
    </row>
    <row r="18" spans="1:5" s="12" customFormat="1">
      <c r="A18" s="29" t="s">
        <v>6</v>
      </c>
      <c r="B18" s="30">
        <v>2210</v>
      </c>
      <c r="C18" s="31">
        <f>2340+2860+2</f>
        <v>5202</v>
      </c>
      <c r="D18" s="28">
        <f t="shared" si="0"/>
        <v>5202</v>
      </c>
      <c r="E18" s="22"/>
    </row>
    <row r="19" spans="1:5" s="8" customFormat="1">
      <c r="A19" s="29" t="s">
        <v>35</v>
      </c>
      <c r="B19" s="30">
        <v>2210</v>
      </c>
      <c r="C19" s="32">
        <f>47988.24+48994.43</f>
        <v>96982.67</v>
      </c>
      <c r="D19" s="28">
        <f t="shared" si="0"/>
        <v>96982.67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1300+500+1203.96+10159.33</f>
        <v>13163.29</v>
      </c>
      <c r="D21" s="28">
        <f t="shared" si="0"/>
        <v>13163.29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3090.93+9999+617.5</f>
        <v>13707.43</v>
      </c>
      <c r="D24" s="28">
        <f t="shared" si="0"/>
        <v>13707.43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841559.91</v>
      </c>
      <c r="D25" s="28">
        <f t="shared" si="0"/>
        <v>841559.91</v>
      </c>
      <c r="E25" s="22"/>
    </row>
    <row r="26" spans="1:5">
      <c r="A26" s="25" t="s">
        <v>9</v>
      </c>
      <c r="B26" s="26">
        <v>2271</v>
      </c>
      <c r="C26" s="27">
        <f>699929.48</f>
        <v>699929.48</v>
      </c>
      <c r="D26" s="27">
        <f t="shared" si="0"/>
        <v>699929.48</v>
      </c>
      <c r="E26" s="22"/>
    </row>
    <row r="27" spans="1:5">
      <c r="A27" s="25" t="s">
        <v>10</v>
      </c>
      <c r="B27" s="26">
        <v>2272</v>
      </c>
      <c r="C27" s="27">
        <f>20184.65</f>
        <v>20184.650000000001</v>
      </c>
      <c r="D27" s="27">
        <f t="shared" si="0"/>
        <v>20184.650000000001</v>
      </c>
      <c r="E27" s="22"/>
    </row>
    <row r="28" spans="1:5">
      <c r="A28" s="25" t="s">
        <v>11</v>
      </c>
      <c r="B28" s="26">
        <v>2273</v>
      </c>
      <c r="C28" s="27">
        <f>117475.04</f>
        <v>117475.04</v>
      </c>
      <c r="D28" s="27">
        <f t="shared" si="0"/>
        <v>117475.04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3970.74</f>
        <v>3970.74</v>
      </c>
      <c r="D30" s="34">
        <f t="shared" si="0"/>
        <v>3970.74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9" customWidth="1"/>
    <col min="2" max="2" width="10.85546875" style="19" customWidth="1"/>
    <col min="3" max="4" width="17.42578125" style="19" customWidth="1"/>
    <col min="5" max="16384" width="14.42578125" style="19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60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858485.14000000013</v>
      </c>
      <c r="D15" s="28">
        <f>C15</f>
        <v>858485.14000000013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858485.14000000013</v>
      </c>
      <c r="D16" s="28">
        <f t="shared" ref="D16:D35" si="0">C16</f>
        <v>858485.14000000013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858485.14000000013</v>
      </c>
      <c r="D17" s="28">
        <f t="shared" si="0"/>
        <v>858485.14000000013</v>
      </c>
      <c r="E17" s="22"/>
    </row>
    <row r="18" spans="1:5" s="12" customFormat="1">
      <c r="A18" s="29" t="s">
        <v>6</v>
      </c>
      <c r="B18" s="30">
        <v>2210</v>
      </c>
      <c r="C18" s="31">
        <f>780+880</f>
        <v>1660</v>
      </c>
      <c r="D18" s="28">
        <f t="shared" si="0"/>
        <v>1660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1300+600+1113.96+505.44+6427.05</f>
        <v>9946.4500000000007</v>
      </c>
      <c r="D21" s="28">
        <f t="shared" si="0"/>
        <v>9946.4500000000007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2281.36+617.5</f>
        <v>2898.86</v>
      </c>
      <c r="D24" s="28">
        <f t="shared" si="0"/>
        <v>2898.86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843979.83000000007</v>
      </c>
      <c r="D25" s="28">
        <f t="shared" si="0"/>
        <v>843979.83000000007</v>
      </c>
      <c r="E25" s="22"/>
    </row>
    <row r="26" spans="1:5">
      <c r="A26" s="25" t="s">
        <v>9</v>
      </c>
      <c r="B26" s="26">
        <v>2271</v>
      </c>
      <c r="C26" s="27">
        <f>732630.05</f>
        <v>732630.05</v>
      </c>
      <c r="D26" s="27">
        <f t="shared" si="0"/>
        <v>732630.05</v>
      </c>
      <c r="E26" s="22"/>
    </row>
    <row r="27" spans="1:5">
      <c r="A27" s="25" t="s">
        <v>10</v>
      </c>
      <c r="B27" s="26">
        <v>2272</v>
      </c>
      <c r="C27" s="27">
        <f>20365.54</f>
        <v>20365.54</v>
      </c>
      <c r="D27" s="27">
        <f t="shared" si="0"/>
        <v>20365.54</v>
      </c>
      <c r="E27" s="22"/>
    </row>
    <row r="28" spans="1:5">
      <c r="A28" s="25" t="s">
        <v>11</v>
      </c>
      <c r="B28" s="26">
        <v>2273</v>
      </c>
      <c r="C28" s="27">
        <f>87580.75</f>
        <v>87580.75</v>
      </c>
      <c r="D28" s="27">
        <f t="shared" si="0"/>
        <v>87580.75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3403.49</f>
        <v>3403.49</v>
      </c>
      <c r="D30" s="34">
        <f t="shared" si="0"/>
        <v>3403.49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25"/>
  <sheetViews>
    <sheetView tabSelected="1" view="pageBreakPreview" zoomScaleNormal="80" zoomScaleSheetLayoutView="100" workbookViewId="0">
      <selection activeCell="F16" sqref="F16"/>
    </sheetView>
  </sheetViews>
  <sheetFormatPr defaultColWidth="14.42578125" defaultRowHeight="15" customHeight="1"/>
  <cols>
    <col min="1" max="1" width="57.85546875" style="36" customWidth="1"/>
    <col min="2" max="2" width="10.85546875" style="36" customWidth="1"/>
    <col min="3" max="4" width="17.42578125" style="36" customWidth="1"/>
    <col min="5" max="16384" width="14.42578125" style="36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3.75" customHeight="1">
      <c r="A5" s="17" t="s">
        <v>23</v>
      </c>
      <c r="B5" s="37" t="s">
        <v>61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1435333.9499999997</v>
      </c>
      <c r="D15" s="28">
        <f>C15</f>
        <v>1435333.9499999997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1435333.9499999997</v>
      </c>
      <c r="D16" s="28">
        <f t="shared" ref="D16:D35" si="0">C16</f>
        <v>1435333.9499999997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1435333.9499999997</v>
      </c>
      <c r="D17" s="28">
        <f t="shared" si="0"/>
        <v>1435333.9499999997</v>
      </c>
      <c r="E17" s="22"/>
    </row>
    <row r="18" spans="1:5" s="12" customFormat="1">
      <c r="A18" s="29" t="s">
        <v>6</v>
      </c>
      <c r="B18" s="30">
        <v>2210</v>
      </c>
      <c r="C18" s="31">
        <f>3900+4620</f>
        <v>8520</v>
      </c>
      <c r="D18" s="28">
        <f t="shared" si="0"/>
        <v>8520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1750+1400+3413.94+115.2+8910</f>
        <v>15589.14</v>
      </c>
      <c r="D21" s="28">
        <f t="shared" si="0"/>
        <v>15589.14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4611.21+2537.3+1007.5</f>
        <v>8156.01</v>
      </c>
      <c r="D24" s="28">
        <f t="shared" si="0"/>
        <v>8156.01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1403068.7999999998</v>
      </c>
      <c r="D25" s="28">
        <f t="shared" si="0"/>
        <v>1403068.7999999998</v>
      </c>
      <c r="E25" s="22"/>
    </row>
    <row r="26" spans="1:5">
      <c r="A26" s="25" t="s">
        <v>9</v>
      </c>
      <c r="B26" s="26">
        <v>2271</v>
      </c>
      <c r="C26" s="27">
        <f>1051114.54</f>
        <v>1051114.54</v>
      </c>
      <c r="D26" s="27">
        <f t="shared" si="0"/>
        <v>1051114.54</v>
      </c>
      <c r="E26" s="22"/>
    </row>
    <row r="27" spans="1:5">
      <c r="A27" s="25" t="s">
        <v>10</v>
      </c>
      <c r="B27" s="26">
        <v>2272</v>
      </c>
      <c r="C27" s="27">
        <f>25339.68</f>
        <v>25339.68</v>
      </c>
      <c r="D27" s="27">
        <f t="shared" si="0"/>
        <v>25339.68</v>
      </c>
      <c r="E27" s="22"/>
    </row>
    <row r="28" spans="1:5">
      <c r="A28" s="25" t="s">
        <v>11</v>
      </c>
      <c r="B28" s="26">
        <v>2273</v>
      </c>
      <c r="C28" s="27">
        <f>320424.7</f>
        <v>320424.7</v>
      </c>
      <c r="D28" s="27">
        <f t="shared" si="0"/>
        <v>320424.7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3094.94+3094.94</f>
        <v>6189.88</v>
      </c>
      <c r="D30" s="34">
        <f t="shared" si="0"/>
        <v>6189.88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2:D12"/>
    <mergeCell ref="A1:D1"/>
    <mergeCell ref="A2:D2"/>
    <mergeCell ref="A3:D3"/>
    <mergeCell ref="B5:D5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6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41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726253.3</v>
      </c>
      <c r="D15" s="28">
        <f>C15</f>
        <v>726253.3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726253.3</v>
      </c>
      <c r="D16" s="28">
        <f t="shared" ref="D16:D35" si="0">C16</f>
        <v>726253.3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726253.3</v>
      </c>
      <c r="D17" s="28">
        <f t="shared" si="0"/>
        <v>726253.3</v>
      </c>
      <c r="E17" s="22"/>
    </row>
    <row r="18" spans="1:5" s="12" customFormat="1">
      <c r="A18" s="29" t="s">
        <v>6</v>
      </c>
      <c r="B18" s="30">
        <v>2210</v>
      </c>
      <c r="C18" s="31">
        <f>3900+3300</f>
        <v>7200</v>
      </c>
      <c r="D18" s="31">
        <f t="shared" si="0"/>
        <v>7200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28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2050+1725+893.94+13756.45</f>
        <v>18425.39</v>
      </c>
      <c r="D21" s="28">
        <f t="shared" si="0"/>
        <v>18425.39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6327.24+1365</f>
        <v>7692.24</v>
      </c>
      <c r="D24" s="35">
        <f t="shared" si="0"/>
        <v>7692.24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692935.67</v>
      </c>
      <c r="D25" s="28">
        <f t="shared" si="0"/>
        <v>692935.67</v>
      </c>
      <c r="E25" s="22"/>
    </row>
    <row r="26" spans="1:5">
      <c r="A26" s="25" t="s">
        <v>9</v>
      </c>
      <c r="B26" s="26">
        <v>2271</v>
      </c>
      <c r="C26" s="27">
        <f>614662.66</f>
        <v>614662.66</v>
      </c>
      <c r="D26" s="27">
        <f t="shared" si="0"/>
        <v>614662.66</v>
      </c>
      <c r="E26" s="22"/>
    </row>
    <row r="27" spans="1:5">
      <c r="A27" s="25" t="s">
        <v>10</v>
      </c>
      <c r="B27" s="26">
        <v>2272</v>
      </c>
      <c r="C27" s="27">
        <f>10824.38</f>
        <v>10824.38</v>
      </c>
      <c r="D27" s="27">
        <f t="shared" si="0"/>
        <v>10824.38</v>
      </c>
      <c r="E27" s="22"/>
    </row>
    <row r="28" spans="1:5">
      <c r="A28" s="25" t="s">
        <v>11</v>
      </c>
      <c r="B28" s="26">
        <v>2273</v>
      </c>
      <c r="C28" s="27">
        <f>59081.73</f>
        <v>59081.73</v>
      </c>
      <c r="D28" s="27">
        <f t="shared" si="0"/>
        <v>59081.73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5247.04+3119.86</f>
        <v>8366.9</v>
      </c>
      <c r="D30" s="34">
        <f t="shared" si="0"/>
        <v>8366.9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4" zoomScaleNormal="70" zoomScaleSheetLayoutView="100" workbookViewId="0">
      <selection activeCell="C18" sqref="C18:C25"/>
    </sheetView>
  </sheetViews>
  <sheetFormatPr defaultColWidth="14.42578125" defaultRowHeight="15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42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1739567.9</v>
      </c>
      <c r="D15" s="28">
        <f>C15</f>
        <v>1739567.9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1739567.9</v>
      </c>
      <c r="D16" s="28">
        <f t="shared" ref="D16:D35" si="0">C16</f>
        <v>1739567.9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1739567.9</v>
      </c>
      <c r="D17" s="28">
        <f t="shared" si="0"/>
        <v>1739567.9</v>
      </c>
      <c r="E17" s="22"/>
    </row>
    <row r="18" spans="1:5" s="12" customFormat="1">
      <c r="A18" s="29" t="s">
        <v>6</v>
      </c>
      <c r="B18" s="30">
        <v>2210</v>
      </c>
      <c r="C18" s="31">
        <f>3120+3300</f>
        <v>6420</v>
      </c>
      <c r="D18" s="31">
        <f t="shared" si="0"/>
        <v>6420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>
        <f>104000</f>
        <v>104000</v>
      </c>
      <c r="D20" s="32">
        <f t="shared" si="0"/>
        <v>104000</v>
      </c>
      <c r="E20" s="22"/>
    </row>
    <row r="21" spans="1:5" s="12" customFormat="1">
      <c r="A21" s="23" t="s">
        <v>7</v>
      </c>
      <c r="B21" s="24">
        <v>2240</v>
      </c>
      <c r="C21" s="28">
        <f>2050+1775+2025+3282.54+7868.52</f>
        <v>17001.060000000001</v>
      </c>
      <c r="D21" s="28">
        <f t="shared" si="0"/>
        <v>17001.060000000001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4784.2+1105</f>
        <v>5889.2</v>
      </c>
      <c r="D24" s="35">
        <f t="shared" si="0"/>
        <v>5889.2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1606257.64</v>
      </c>
      <c r="D25" s="28">
        <f t="shared" si="0"/>
        <v>1606257.64</v>
      </c>
      <c r="E25" s="22"/>
    </row>
    <row r="26" spans="1:5">
      <c r="A26" s="25" t="s">
        <v>9</v>
      </c>
      <c r="B26" s="26">
        <v>2271</v>
      </c>
      <c r="C26" s="27">
        <f>1390787.49</f>
        <v>1390787.49</v>
      </c>
      <c r="D26" s="27">
        <f t="shared" si="0"/>
        <v>1390787.49</v>
      </c>
      <c r="E26" s="22"/>
    </row>
    <row r="27" spans="1:5">
      <c r="A27" s="25" t="s">
        <v>10</v>
      </c>
      <c r="B27" s="26">
        <v>2272</v>
      </c>
      <c r="C27" s="27">
        <f>45289.68</f>
        <v>45289.68</v>
      </c>
      <c r="D27" s="27">
        <f t="shared" si="0"/>
        <v>45289.68</v>
      </c>
      <c r="E27" s="22"/>
    </row>
    <row r="28" spans="1:5">
      <c r="A28" s="25" t="s">
        <v>11</v>
      </c>
      <c r="B28" s="26">
        <v>2273</v>
      </c>
      <c r="C28" s="27">
        <f>164649.8</f>
        <v>164649.79999999999</v>
      </c>
      <c r="D28" s="27">
        <f t="shared" si="0"/>
        <v>164649.79999999999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5530.67</f>
        <v>5530.67</v>
      </c>
      <c r="D30" s="34">
        <f t="shared" si="0"/>
        <v>5530.67</v>
      </c>
      <c r="E30" s="22"/>
    </row>
    <row r="31" spans="1:5" s="11" customFormat="1">
      <c r="A31" s="23" t="s">
        <v>13</v>
      </c>
      <c r="B31" s="24">
        <v>2700</v>
      </c>
      <c r="C31" s="28">
        <f>C32</f>
        <v>0</v>
      </c>
      <c r="D31" s="28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39" spans="1:5" ht="15" customHeight="1">
      <c r="C39" s="20"/>
      <c r="D39" s="20"/>
    </row>
    <row r="40" spans="1:5" ht="15" customHeight="1">
      <c r="C40" s="20"/>
      <c r="D40" s="20"/>
    </row>
    <row r="41" spans="1:5" ht="15" customHeight="1"/>
    <row r="42" spans="1:5" ht="15" customHeight="1"/>
    <row r="43" spans="1:5" s="8" customFormat="1"/>
    <row r="44" spans="1:5" s="8" customFormat="1"/>
    <row r="45" spans="1:5" s="8" customForma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="8" customFormat="1"/>
    <row r="82" s="8" customFormat="1"/>
    <row r="83" s="8" customForma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s="8" customFormat="1"/>
    <row r="120" s="8" customFormat="1"/>
    <row r="121" s="8" customForma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s="8" customFormat="1"/>
    <row r="158" s="8" customFormat="1"/>
    <row r="159" s="8" customForma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s="8" customFormat="1"/>
    <row r="196" s="8" customFormat="1"/>
    <row r="197" s="8" customFormat="1"/>
    <row r="198" ht="15" customHeight="1"/>
    <row r="199" ht="15" customHeigh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52.5" customHeight="1">
      <c r="A5" s="17" t="s">
        <v>23</v>
      </c>
      <c r="B5" s="37" t="s">
        <v>43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1962115.79</v>
      </c>
      <c r="D15" s="28">
        <f>C15</f>
        <v>1962115.79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1962115.79</v>
      </c>
      <c r="D16" s="28">
        <f t="shared" ref="D16:D35" si="0">C16</f>
        <v>1962115.79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1962115.79</v>
      </c>
      <c r="D17" s="28">
        <f t="shared" si="0"/>
        <v>1962115.79</v>
      </c>
      <c r="E17" s="22"/>
    </row>
    <row r="18" spans="1:5" s="12" customFormat="1">
      <c r="A18" s="29" t="s">
        <v>6</v>
      </c>
      <c r="B18" s="30">
        <v>2210</v>
      </c>
      <c r="C18" s="31">
        <f>4680+4620</f>
        <v>9300</v>
      </c>
      <c r="D18" s="28">
        <f t="shared" si="0"/>
        <v>9300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>
        <f>109200</f>
        <v>109200</v>
      </c>
      <c r="D20" s="28">
        <f t="shared" si="0"/>
        <v>109200</v>
      </c>
      <c r="E20" s="22"/>
    </row>
    <row r="21" spans="1:5" s="12" customFormat="1">
      <c r="A21" s="23" t="s">
        <v>7</v>
      </c>
      <c r="B21" s="24">
        <v>2240</v>
      </c>
      <c r="C21" s="28">
        <f>2050+2650+2090.94+9385.14</f>
        <v>16176.08</v>
      </c>
      <c r="D21" s="28">
        <f t="shared" si="0"/>
        <v>16176.08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28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5280.59+520</f>
        <v>5800.59</v>
      </c>
      <c r="D24" s="28">
        <f t="shared" si="0"/>
        <v>5800.59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1821639.12</v>
      </c>
      <c r="D25" s="28">
        <f t="shared" si="0"/>
        <v>1821639.12</v>
      </c>
      <c r="E25" s="22"/>
    </row>
    <row r="26" spans="1:5">
      <c r="A26" s="25" t="s">
        <v>9</v>
      </c>
      <c r="B26" s="26">
        <v>2271</v>
      </c>
      <c r="C26" s="27">
        <f>1700591.3</f>
        <v>1700591.3</v>
      </c>
      <c r="D26" s="27">
        <f t="shared" si="0"/>
        <v>1700591.3</v>
      </c>
      <c r="E26" s="22"/>
    </row>
    <row r="27" spans="1:5">
      <c r="A27" s="25" t="s">
        <v>10</v>
      </c>
      <c r="B27" s="26">
        <v>2272</v>
      </c>
      <c r="C27" s="27">
        <f>10021.78</f>
        <v>10021.780000000001</v>
      </c>
      <c r="D27" s="27">
        <f t="shared" si="0"/>
        <v>10021.780000000001</v>
      </c>
      <c r="E27" s="22"/>
    </row>
    <row r="28" spans="1:5">
      <c r="A28" s="25" t="s">
        <v>11</v>
      </c>
      <c r="B28" s="26">
        <v>2273</v>
      </c>
      <c r="C28" s="27">
        <f>106629.87</f>
        <v>106629.87</v>
      </c>
      <c r="D28" s="27">
        <f t="shared" si="0"/>
        <v>106629.87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4396.17</f>
        <v>4396.17</v>
      </c>
      <c r="D30" s="34">
        <f t="shared" si="0"/>
        <v>4396.17</v>
      </c>
      <c r="E30" s="22"/>
    </row>
    <row r="31" spans="1:5" s="11" customFormat="1">
      <c r="A31" s="23" t="s">
        <v>13</v>
      </c>
      <c r="B31" s="24">
        <v>2700</v>
      </c>
      <c r="C31" s="28">
        <f>C32</f>
        <v>0</v>
      </c>
      <c r="D31" s="28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8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2.25" customHeight="1">
      <c r="A5" s="17" t="s">
        <v>23</v>
      </c>
      <c r="B5" s="37" t="s">
        <v>44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766022.67999999993</v>
      </c>
      <c r="D15" s="28">
        <f>C15</f>
        <v>766022.67999999993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766022.67999999993</v>
      </c>
      <c r="D16" s="28">
        <f t="shared" ref="D16:D35" si="0">C16</f>
        <v>766022.67999999993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766022.67999999993</v>
      </c>
      <c r="D17" s="28">
        <f t="shared" si="0"/>
        <v>766022.67999999993</v>
      </c>
      <c r="E17" s="22"/>
    </row>
    <row r="18" spans="1:5" s="12" customFormat="1">
      <c r="A18" s="29" t="s">
        <v>6</v>
      </c>
      <c r="B18" s="30">
        <v>2210</v>
      </c>
      <c r="C18" s="31">
        <f>3120+2500</f>
        <v>5620</v>
      </c>
      <c r="D18" s="28">
        <f t="shared" si="0"/>
        <v>5620</v>
      </c>
      <c r="E18" s="22"/>
    </row>
    <row r="19" spans="1:5" s="8" customFormat="1">
      <c r="A19" s="29" t="s">
        <v>35</v>
      </c>
      <c r="B19" s="30">
        <v>2210</v>
      </c>
      <c r="C19" s="32"/>
      <c r="D19" s="28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28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2050+1675+555.96+804.96+8354.11</f>
        <v>13440.03</v>
      </c>
      <c r="D21" s="28">
        <f t="shared" si="0"/>
        <v>13440.03</v>
      </c>
      <c r="E21" s="22"/>
    </row>
    <row r="22" spans="1:5">
      <c r="A22" s="23" t="s">
        <v>36</v>
      </c>
      <c r="B22" s="24">
        <v>2240</v>
      </c>
      <c r="C22" s="35"/>
      <c r="D22" s="28">
        <f t="shared" si="0"/>
        <v>0</v>
      </c>
      <c r="E22" s="22"/>
    </row>
    <row r="23" spans="1:5">
      <c r="A23" s="23" t="s">
        <v>20</v>
      </c>
      <c r="B23" s="24">
        <v>2240</v>
      </c>
      <c r="C23" s="35">
        <f>49149</f>
        <v>49149</v>
      </c>
      <c r="D23" s="28">
        <f t="shared" si="0"/>
        <v>49149</v>
      </c>
      <c r="E23" s="22"/>
    </row>
    <row r="24" spans="1:5">
      <c r="A24" s="23" t="s">
        <v>37</v>
      </c>
      <c r="B24" s="24">
        <v>2240</v>
      </c>
      <c r="C24" s="35">
        <f>1777.19+1430</f>
        <v>3207.19</v>
      </c>
      <c r="D24" s="28">
        <f t="shared" si="0"/>
        <v>3207.19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694606.46</v>
      </c>
      <c r="D25" s="28">
        <f t="shared" si="0"/>
        <v>694606.46</v>
      </c>
      <c r="E25" s="22"/>
    </row>
    <row r="26" spans="1:5">
      <c r="A26" s="25" t="s">
        <v>9</v>
      </c>
      <c r="B26" s="26">
        <v>2271</v>
      </c>
      <c r="C26" s="27">
        <f>481113.45</f>
        <v>481113.45</v>
      </c>
      <c r="D26" s="27">
        <f t="shared" si="0"/>
        <v>481113.45</v>
      </c>
      <c r="E26" s="22"/>
    </row>
    <row r="27" spans="1:5">
      <c r="A27" s="25" t="s">
        <v>10</v>
      </c>
      <c r="B27" s="26">
        <v>2272</v>
      </c>
      <c r="C27" s="27">
        <f>21752.88</f>
        <v>21752.880000000001</v>
      </c>
      <c r="D27" s="27">
        <f t="shared" si="0"/>
        <v>21752.880000000001</v>
      </c>
      <c r="E27" s="22"/>
    </row>
    <row r="28" spans="1:5">
      <c r="A28" s="25" t="s">
        <v>11</v>
      </c>
      <c r="B28" s="26">
        <v>2273</v>
      </c>
      <c r="C28" s="27">
        <f>187202.15</f>
        <v>187202.15</v>
      </c>
      <c r="D28" s="27">
        <f t="shared" si="0"/>
        <v>187202.15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4537.98</f>
        <v>4537.9799999999996</v>
      </c>
      <c r="D30" s="34">
        <f t="shared" si="0"/>
        <v>4537.9799999999996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8">
        <f>C34+C35</f>
        <v>0</v>
      </c>
      <c r="D33" s="28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3" zoomScaleNormal="6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2.25" customHeight="1">
      <c r="A5" s="17" t="s">
        <v>23</v>
      </c>
      <c r="B5" s="37" t="s">
        <v>45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1155581.21</v>
      </c>
      <c r="D15" s="28">
        <f>C15</f>
        <v>1155581.21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1155581.21</v>
      </c>
      <c r="D16" s="28">
        <f t="shared" ref="D16:D35" si="0">C16</f>
        <v>1155581.21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1155581.21</v>
      </c>
      <c r="D17" s="28">
        <f t="shared" si="0"/>
        <v>1155581.21</v>
      </c>
      <c r="E17" s="22"/>
    </row>
    <row r="18" spans="1:5" s="12" customFormat="1">
      <c r="A18" s="29" t="s">
        <v>6</v>
      </c>
      <c r="B18" s="30">
        <v>2210</v>
      </c>
      <c r="C18" s="31">
        <f>3120+1760</f>
        <v>4880</v>
      </c>
      <c r="D18" s="31">
        <f t="shared" si="0"/>
        <v>4880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2050+2100+830.94+7368.08</f>
        <v>12349.02</v>
      </c>
      <c r="D21" s="28">
        <f t="shared" si="0"/>
        <v>12349.02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2706.95+1657.5</f>
        <v>4364.45</v>
      </c>
      <c r="D24" s="35">
        <f t="shared" si="0"/>
        <v>4364.45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1133987.74</v>
      </c>
      <c r="D25" s="28">
        <f t="shared" si="0"/>
        <v>1133987.74</v>
      </c>
      <c r="E25" s="22"/>
    </row>
    <row r="26" spans="1:5">
      <c r="A26" s="25" t="s">
        <v>9</v>
      </c>
      <c r="B26" s="26">
        <v>2271</v>
      </c>
      <c r="C26" s="27">
        <f>1047956.08</f>
        <v>1047956.08</v>
      </c>
      <c r="D26" s="27">
        <f t="shared" si="0"/>
        <v>1047956.08</v>
      </c>
      <c r="E26" s="22"/>
    </row>
    <row r="27" spans="1:5">
      <c r="A27" s="25" t="s">
        <v>10</v>
      </c>
      <c r="B27" s="26">
        <v>2272</v>
      </c>
      <c r="C27" s="27">
        <f>11552.86</f>
        <v>11552.86</v>
      </c>
      <c r="D27" s="27">
        <f t="shared" si="0"/>
        <v>11552.86</v>
      </c>
      <c r="E27" s="22"/>
    </row>
    <row r="28" spans="1:5">
      <c r="A28" s="25" t="s">
        <v>11</v>
      </c>
      <c r="B28" s="26">
        <v>2273</v>
      </c>
      <c r="C28" s="27">
        <f>69231.76</f>
        <v>69231.759999999995</v>
      </c>
      <c r="D28" s="27">
        <f t="shared" si="0"/>
        <v>69231.759999999995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5247.04</f>
        <v>5247.04</v>
      </c>
      <c r="D30" s="34">
        <f t="shared" si="0"/>
        <v>5247.04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10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68.25" customHeight="1">
      <c r="A5" s="17" t="s">
        <v>23</v>
      </c>
      <c r="B5" s="37" t="s">
        <v>46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367759.85</v>
      </c>
      <c r="D15" s="28">
        <f>C15</f>
        <v>367759.85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367759.85</v>
      </c>
      <c r="D16" s="28">
        <f t="shared" ref="D16:D35" si="0">C16</f>
        <v>367759.85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367759.85</v>
      </c>
      <c r="D17" s="28">
        <f t="shared" si="0"/>
        <v>367759.85</v>
      </c>
      <c r="E17" s="22"/>
    </row>
    <row r="18" spans="1:5" s="12" customFormat="1">
      <c r="A18" s="29" t="s">
        <v>6</v>
      </c>
      <c r="B18" s="30">
        <v>2210</v>
      </c>
      <c r="C18" s="31">
        <f>390+550</f>
        <v>940</v>
      </c>
      <c r="D18" s="31">
        <f t="shared" si="0"/>
        <v>940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3388.16+6382.05</f>
        <v>9770.2099999999991</v>
      </c>
      <c r="D21" s="28">
        <f t="shared" si="0"/>
        <v>9770.2099999999991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2759.9+1007.5</f>
        <v>3767.4</v>
      </c>
      <c r="D24" s="35">
        <f t="shared" si="0"/>
        <v>3767.4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353282.24</v>
      </c>
      <c r="D25" s="28">
        <f t="shared" si="0"/>
        <v>353282.24</v>
      </c>
      <c r="E25" s="22"/>
    </row>
    <row r="26" spans="1:5">
      <c r="A26" s="25" t="s">
        <v>9</v>
      </c>
      <c r="B26" s="26">
        <v>2271</v>
      </c>
      <c r="C26" s="27">
        <v>0</v>
      </c>
      <c r="D26" s="27">
        <f t="shared" si="0"/>
        <v>0</v>
      </c>
      <c r="E26" s="22"/>
    </row>
    <row r="27" spans="1:5">
      <c r="A27" s="25" t="s">
        <v>10</v>
      </c>
      <c r="B27" s="26">
        <v>2272</v>
      </c>
      <c r="C27" s="27">
        <f>6070.75</f>
        <v>6070.75</v>
      </c>
      <c r="D27" s="27">
        <f t="shared" si="0"/>
        <v>6070.75</v>
      </c>
      <c r="E27" s="22"/>
    </row>
    <row r="28" spans="1:5">
      <c r="A28" s="25" t="s">
        <v>11</v>
      </c>
      <c r="B28" s="26">
        <v>2273</v>
      </c>
      <c r="C28" s="27">
        <f>347211.49</f>
        <v>347211.49</v>
      </c>
      <c r="D28" s="27">
        <f t="shared" si="0"/>
        <v>347211.49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v>0</v>
      </c>
      <c r="D30" s="34">
        <f t="shared" si="0"/>
        <v>0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topLeftCell="A7" zoomScaleNormal="70" zoomScaleSheetLayoutView="100" workbookViewId="0">
      <selection activeCell="C18" sqref="C18:C25"/>
    </sheetView>
  </sheetViews>
  <sheetFormatPr defaultColWidth="14.42578125" defaultRowHeight="15" customHeight="1"/>
  <cols>
    <col min="1" max="1" width="57.85546875" style="15" customWidth="1"/>
    <col min="2" max="2" width="10.85546875" style="15" customWidth="1"/>
    <col min="3" max="4" width="17.42578125" style="15" customWidth="1"/>
    <col min="5" max="16384" width="14.42578125" style="15"/>
  </cols>
  <sheetData>
    <row r="1" spans="1:5">
      <c r="A1" s="40" t="s">
        <v>0</v>
      </c>
      <c r="B1" s="39"/>
      <c r="C1" s="39"/>
      <c r="D1" s="39"/>
    </row>
    <row r="2" spans="1:5">
      <c r="A2" s="40" t="s">
        <v>32</v>
      </c>
      <c r="B2" s="39"/>
      <c r="C2" s="39"/>
      <c r="D2" s="39"/>
    </row>
    <row r="3" spans="1:5">
      <c r="A3" s="40" t="s">
        <v>38</v>
      </c>
      <c r="B3" s="39"/>
      <c r="C3" s="39"/>
      <c r="D3" s="39"/>
    </row>
    <row r="4" spans="1:5">
      <c r="A4" s="1"/>
      <c r="B4" s="1"/>
      <c r="C4" s="2"/>
    </row>
    <row r="5" spans="1:5" ht="46.5" customHeight="1">
      <c r="A5" s="17" t="s">
        <v>23</v>
      </c>
      <c r="B5" s="37" t="s">
        <v>47</v>
      </c>
      <c r="C5" s="37"/>
      <c r="D5" s="37"/>
    </row>
    <row r="6" spans="1:5">
      <c r="A6" s="17" t="s">
        <v>24</v>
      </c>
      <c r="B6" s="16" t="s">
        <v>25</v>
      </c>
    </row>
    <row r="7" spans="1:5">
      <c r="A7" s="17" t="s">
        <v>26</v>
      </c>
      <c r="B7" s="16" t="s">
        <v>27</v>
      </c>
    </row>
    <row r="8" spans="1:5" ht="25.5">
      <c r="A8" s="1" t="s">
        <v>28</v>
      </c>
      <c r="B8" s="16" t="s">
        <v>29</v>
      </c>
    </row>
    <row r="9" spans="1:5" ht="38.25">
      <c r="A9" s="1" t="s">
        <v>30</v>
      </c>
      <c r="B9" s="41" t="s">
        <v>31</v>
      </c>
      <c r="C9" s="41"/>
      <c r="D9" s="41"/>
    </row>
    <row r="10" spans="1:5">
      <c r="A10" s="3" t="s">
        <v>21</v>
      </c>
    </row>
    <row r="11" spans="1:5">
      <c r="A11" s="3" t="s">
        <v>1</v>
      </c>
    </row>
    <row r="12" spans="1:5" ht="15.75">
      <c r="A12" s="38"/>
      <c r="B12" s="39"/>
      <c r="C12" s="39"/>
      <c r="D12" s="39"/>
    </row>
    <row r="13" spans="1:5" ht="36">
      <c r="A13" s="26" t="s">
        <v>2</v>
      </c>
      <c r="B13" s="26" t="s">
        <v>22</v>
      </c>
      <c r="C13" s="26" t="s">
        <v>33</v>
      </c>
      <c r="D13" s="26" t="s">
        <v>34</v>
      </c>
    </row>
    <row r="14" spans="1:5">
      <c r="A14" s="24">
        <v>1</v>
      </c>
      <c r="B14" s="24">
        <v>2</v>
      </c>
      <c r="C14" s="24">
        <v>3</v>
      </c>
      <c r="D14" s="24">
        <v>4</v>
      </c>
    </row>
    <row r="15" spans="1:5" s="10" customFormat="1">
      <c r="A15" s="24" t="s">
        <v>3</v>
      </c>
      <c r="B15" s="24" t="s">
        <v>4</v>
      </c>
      <c r="C15" s="28">
        <f>C16+C33</f>
        <v>397264.94999999995</v>
      </c>
      <c r="D15" s="28">
        <f>C15</f>
        <v>397264.94999999995</v>
      </c>
      <c r="E15" s="22"/>
    </row>
    <row r="16" spans="1:5" s="9" customFormat="1" ht="24">
      <c r="A16" s="26" t="s">
        <v>19</v>
      </c>
      <c r="B16" s="24">
        <v>2000</v>
      </c>
      <c r="C16" s="28">
        <f>C17+C31</f>
        <v>397264.94999999995</v>
      </c>
      <c r="D16" s="28">
        <f t="shared" ref="D16:D35" si="0">C16</f>
        <v>397264.94999999995</v>
      </c>
      <c r="E16" s="22"/>
    </row>
    <row r="17" spans="1:5" s="11" customFormat="1">
      <c r="A17" s="23" t="s">
        <v>5</v>
      </c>
      <c r="B17" s="24">
        <v>2200</v>
      </c>
      <c r="C17" s="28">
        <f>C18+C19+C20+C21+C22+C23+C24+C25</f>
        <v>397264.94999999995</v>
      </c>
      <c r="D17" s="28">
        <f t="shared" si="0"/>
        <v>397264.94999999995</v>
      </c>
      <c r="E17" s="22"/>
    </row>
    <row r="18" spans="1:5" s="12" customFormat="1">
      <c r="A18" s="29" t="s">
        <v>6</v>
      </c>
      <c r="B18" s="30">
        <v>2210</v>
      </c>
      <c r="C18" s="31">
        <f>1560+1760</f>
        <v>3320</v>
      </c>
      <c r="D18" s="31">
        <f t="shared" si="0"/>
        <v>3320</v>
      </c>
      <c r="E18" s="22"/>
    </row>
    <row r="19" spans="1:5" s="8" customFormat="1">
      <c r="A19" s="29" t="s">
        <v>35</v>
      </c>
      <c r="B19" s="30">
        <v>2210</v>
      </c>
      <c r="C19" s="32"/>
      <c r="D19" s="32">
        <f t="shared" si="0"/>
        <v>0</v>
      </c>
      <c r="E19" s="22"/>
    </row>
    <row r="20" spans="1:5" s="13" customFormat="1">
      <c r="A20" s="23" t="s">
        <v>37</v>
      </c>
      <c r="B20" s="24">
        <v>2210</v>
      </c>
      <c r="C20" s="32"/>
      <c r="D20" s="32">
        <f t="shared" si="0"/>
        <v>0</v>
      </c>
      <c r="E20" s="22"/>
    </row>
    <row r="21" spans="1:5" s="12" customFormat="1">
      <c r="A21" s="23" t="s">
        <v>7</v>
      </c>
      <c r="B21" s="24">
        <v>2240</v>
      </c>
      <c r="C21" s="28">
        <f>1750+975+1149.96+4582.05</f>
        <v>8457.01</v>
      </c>
      <c r="D21" s="28">
        <f t="shared" si="0"/>
        <v>8457.01</v>
      </c>
      <c r="E21" s="22"/>
    </row>
    <row r="22" spans="1:5">
      <c r="A22" s="23" t="s">
        <v>36</v>
      </c>
      <c r="B22" s="24">
        <v>2240</v>
      </c>
      <c r="C22" s="35"/>
      <c r="D22" s="35">
        <f t="shared" si="0"/>
        <v>0</v>
      </c>
      <c r="E22" s="22"/>
    </row>
    <row r="23" spans="1:5">
      <c r="A23" s="23" t="s">
        <v>20</v>
      </c>
      <c r="B23" s="24">
        <v>2240</v>
      </c>
      <c r="C23" s="35"/>
      <c r="D23" s="35">
        <f t="shared" si="0"/>
        <v>0</v>
      </c>
      <c r="E23" s="22"/>
    </row>
    <row r="24" spans="1:5">
      <c r="A24" s="23" t="s">
        <v>37</v>
      </c>
      <c r="B24" s="24">
        <v>2240</v>
      </c>
      <c r="C24" s="35">
        <f>3135.88+9999+585</f>
        <v>13719.880000000001</v>
      </c>
      <c r="D24" s="35">
        <f t="shared" si="0"/>
        <v>13719.880000000001</v>
      </c>
      <c r="E24" s="22"/>
    </row>
    <row r="25" spans="1:5" s="12" customFormat="1">
      <c r="A25" s="23" t="s">
        <v>16</v>
      </c>
      <c r="B25" s="24">
        <v>2270</v>
      </c>
      <c r="C25" s="28">
        <f>SUM(C26:C30)</f>
        <v>371768.05999999994</v>
      </c>
      <c r="D25" s="28">
        <f t="shared" si="0"/>
        <v>371768.05999999994</v>
      </c>
      <c r="E25" s="22"/>
    </row>
    <row r="26" spans="1:5">
      <c r="A26" s="25" t="s">
        <v>9</v>
      </c>
      <c r="B26" s="26">
        <v>2271</v>
      </c>
      <c r="C26" s="27">
        <f>309357.04</f>
        <v>309357.03999999998</v>
      </c>
      <c r="D26" s="27">
        <f t="shared" si="0"/>
        <v>309357.03999999998</v>
      </c>
      <c r="E26" s="22"/>
    </row>
    <row r="27" spans="1:5">
      <c r="A27" s="25" t="s">
        <v>10</v>
      </c>
      <c r="B27" s="26">
        <v>2272</v>
      </c>
      <c r="C27" s="27">
        <f>6184.22</f>
        <v>6184.22</v>
      </c>
      <c r="D27" s="27">
        <f t="shared" si="0"/>
        <v>6184.22</v>
      </c>
      <c r="E27" s="22"/>
    </row>
    <row r="28" spans="1:5">
      <c r="A28" s="25" t="s">
        <v>11</v>
      </c>
      <c r="B28" s="26">
        <v>2273</v>
      </c>
      <c r="C28" s="27">
        <f>53390.56</f>
        <v>53390.559999999998</v>
      </c>
      <c r="D28" s="27">
        <f t="shared" si="0"/>
        <v>53390.559999999998</v>
      </c>
      <c r="E28" s="22"/>
    </row>
    <row r="29" spans="1:5" hidden="1">
      <c r="A29" s="25" t="s">
        <v>12</v>
      </c>
      <c r="B29" s="26">
        <v>2274</v>
      </c>
      <c r="C29" s="27"/>
      <c r="D29" s="27">
        <f t="shared" si="0"/>
        <v>0</v>
      </c>
      <c r="E29" s="22"/>
    </row>
    <row r="30" spans="1:5">
      <c r="A30" s="25" t="s">
        <v>8</v>
      </c>
      <c r="B30" s="26">
        <v>2275</v>
      </c>
      <c r="C30" s="34">
        <f>2836.24</f>
        <v>2836.24</v>
      </c>
      <c r="D30" s="34">
        <f t="shared" si="0"/>
        <v>2836.24</v>
      </c>
      <c r="E30" s="22"/>
    </row>
    <row r="31" spans="1:5" s="11" customFormat="1">
      <c r="A31" s="23" t="s">
        <v>13</v>
      </c>
      <c r="B31" s="24">
        <v>2700</v>
      </c>
      <c r="C31" s="27">
        <f>C32</f>
        <v>0</v>
      </c>
      <c r="D31" s="27">
        <f t="shared" si="0"/>
        <v>0</v>
      </c>
      <c r="E31" s="22"/>
    </row>
    <row r="32" spans="1:5">
      <c r="A32" s="25" t="s">
        <v>14</v>
      </c>
      <c r="B32" s="26">
        <v>2730</v>
      </c>
      <c r="C32" s="27"/>
      <c r="D32" s="27">
        <f t="shared" si="0"/>
        <v>0</v>
      </c>
      <c r="E32" s="22"/>
    </row>
    <row r="33" spans="1:5" s="9" customFormat="1">
      <c r="A33" s="24" t="s">
        <v>15</v>
      </c>
      <c r="B33" s="24">
        <v>3000</v>
      </c>
      <c r="C33" s="27">
        <f>C34+C35</f>
        <v>0</v>
      </c>
      <c r="D33" s="27">
        <f t="shared" si="0"/>
        <v>0</v>
      </c>
      <c r="E33" s="22"/>
    </row>
    <row r="34" spans="1:5">
      <c r="A34" s="25" t="s">
        <v>17</v>
      </c>
      <c r="B34" s="26">
        <v>3110</v>
      </c>
      <c r="C34" s="27"/>
      <c r="D34" s="27">
        <f t="shared" si="0"/>
        <v>0</v>
      </c>
      <c r="E34" s="22"/>
    </row>
    <row r="35" spans="1:5">
      <c r="A35" s="25" t="s">
        <v>18</v>
      </c>
      <c r="B35" s="26">
        <v>3130</v>
      </c>
      <c r="C35" s="27"/>
      <c r="D35" s="27">
        <f t="shared" si="0"/>
        <v>0</v>
      </c>
      <c r="E35" s="22"/>
    </row>
    <row r="36" spans="1:5" ht="18">
      <c r="A36" s="5"/>
      <c r="C36" s="20"/>
      <c r="D36" s="20"/>
    </row>
    <row r="37" spans="1:5" ht="15" customHeight="1">
      <c r="C37" s="20"/>
      <c r="D37" s="20"/>
    </row>
    <row r="38" spans="1:5" ht="15" customHeight="1">
      <c r="C38" s="20"/>
      <c r="D38" s="20"/>
    </row>
    <row r="39" spans="1:5" ht="15" customHeight="1">
      <c r="C39" s="20"/>
      <c r="D39" s="20"/>
    </row>
    <row r="43" spans="1:5" s="8" customFormat="1"/>
    <row r="44" spans="1:5" s="8" customFormat="1"/>
    <row r="45" spans="1:5" s="8" customFormat="1"/>
    <row r="81" s="8" customFormat="1"/>
    <row r="82" s="8" customFormat="1"/>
    <row r="83" s="8" customFormat="1"/>
    <row r="119" s="8" customFormat="1"/>
    <row r="120" s="8" customFormat="1"/>
    <row r="121" s="8" customFormat="1"/>
    <row r="157" s="8" customFormat="1"/>
    <row r="158" s="8" customFormat="1"/>
    <row r="159" s="8" customFormat="1"/>
    <row r="195" s="8" customFormat="1"/>
    <row r="196" s="8" customFormat="1"/>
    <row r="197" s="8" customFormat="1"/>
    <row r="233" s="8" customFormat="1"/>
    <row r="234" s="8" customFormat="1"/>
    <row r="235" s="8" customFormat="1"/>
    <row r="271" s="8" customFormat="1"/>
    <row r="272" s="8" customFormat="1"/>
    <row r="273" s="8" customFormat="1"/>
    <row r="309" s="8" customFormat="1"/>
    <row r="310" s="8" customFormat="1"/>
    <row r="311" s="8" customFormat="1"/>
    <row r="347" s="8" customFormat="1"/>
    <row r="348" s="8" customFormat="1"/>
    <row r="349" s="8" customFormat="1"/>
    <row r="385" s="8" customFormat="1"/>
    <row r="386" s="8" customFormat="1"/>
    <row r="387" s="8" customFormat="1"/>
    <row r="423" s="8" customFormat="1"/>
    <row r="424" s="8" customFormat="1"/>
    <row r="425" s="8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Натхнення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Вибір!Область_печати</vt:lpstr>
      <vt:lpstr>Мрія!Область_печати</vt:lpstr>
      <vt:lpstr>Натхнення!Область_печати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2022-10-17T09:45:55Z</cp:lastPrinted>
  <dcterms:created xsi:type="dcterms:W3CDTF">2018-06-18T10:20:14Z</dcterms:created>
  <dcterms:modified xsi:type="dcterms:W3CDTF">2022-10-17T12:29:08Z</dcterms:modified>
</cp:coreProperties>
</file>