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 activeTab="18"/>
  </bookViews>
  <sheets>
    <sheet name="14" sheetId="1" r:id="rId1"/>
    <sheet name="39" sheetId="2" r:id="rId2"/>
    <sheet name="43" sheetId="3" r:id="rId3"/>
    <sheet name="89" sheetId="26" r:id="rId4"/>
    <sheet name="100" sheetId="4" r:id="rId5"/>
    <sheet name="131" sheetId="5" r:id="rId6"/>
    <sheet name="133 " sheetId="6" r:id="rId7"/>
    <sheet name="135" sheetId="7" r:id="rId8"/>
    <sheet name="143" sheetId="9" r:id="rId9"/>
    <sheet name="159" sheetId="8" r:id="rId10"/>
    <sheet name="Надія" sheetId="11" r:id="rId11"/>
    <sheet name="196" sheetId="12" r:id="rId12"/>
    <sheet name="210" sheetId="10" r:id="rId13"/>
    <sheet name="217" sheetId="13" r:id="rId14"/>
    <sheet name="226" sheetId="14" r:id="rId15"/>
    <sheet name="244" sheetId="15" r:id="rId16"/>
    <sheet name="270" sheetId="16" r:id="rId17"/>
    <sheet name="280" sheetId="17" r:id="rId18"/>
    <sheet name="284" sheetId="18" r:id="rId19"/>
  </sheets>
  <definedNames>
    <definedName name="_xlnm.Print_Area" localSheetId="4">'100'!$A$1:$D$33</definedName>
    <definedName name="_xlnm.Print_Area" localSheetId="5">'131'!$A$1:$D$33</definedName>
    <definedName name="_xlnm.Print_Area" localSheetId="6">'133 '!$A$1:$D$33</definedName>
    <definedName name="_xlnm.Print_Area" localSheetId="7">'135'!$A$1:$D$33</definedName>
    <definedName name="_xlnm.Print_Area" localSheetId="0">'14'!$A$1:$D$33</definedName>
    <definedName name="_xlnm.Print_Area" localSheetId="8">'143'!$A$1:$D$33</definedName>
    <definedName name="_xlnm.Print_Area" localSheetId="9">'159'!$A$1:$D$33</definedName>
    <definedName name="_xlnm.Print_Area" localSheetId="11">'196'!$A$1:$D$33</definedName>
    <definedName name="_xlnm.Print_Area" localSheetId="12">'210'!$A$1:$D$34</definedName>
    <definedName name="_xlnm.Print_Area" localSheetId="13">'217'!$A$1:$D$33</definedName>
    <definedName name="_xlnm.Print_Area" localSheetId="14">'226'!$A$1:$D$33</definedName>
    <definedName name="_xlnm.Print_Area" localSheetId="15">'244'!$A$1:$D$33</definedName>
    <definedName name="_xlnm.Print_Area" localSheetId="16">'270'!$A$1:$D$33</definedName>
    <definedName name="_xlnm.Print_Area" localSheetId="17">'280'!$A$1:$D$33</definedName>
    <definedName name="_xlnm.Print_Area" localSheetId="18">'284'!$A$1:$D$33</definedName>
    <definedName name="_xlnm.Print_Area" localSheetId="1">'39'!$A$1:$D$33</definedName>
    <definedName name="_xlnm.Print_Area" localSheetId="2">'43'!$A$1:$D$33</definedName>
    <definedName name="_xlnm.Print_Area" localSheetId="3">'89'!$A$1:$D$33</definedName>
    <definedName name="_xlnm.Print_Area" localSheetId="10">Надія!$A$1:$D$33</definedName>
  </definedNames>
  <calcPr calcId="125725" refMode="R1C1"/>
</workbook>
</file>

<file path=xl/calcChain.xml><?xml version="1.0" encoding="utf-8"?>
<calcChain xmlns="http://schemas.openxmlformats.org/spreadsheetml/2006/main">
  <c r="D23" i="14"/>
  <c r="C20" i="18"/>
  <c r="C20" i="17"/>
  <c r="C20" i="16"/>
  <c r="C20" i="15"/>
  <c r="C20" i="14"/>
  <c r="C20" i="13"/>
  <c r="C20" i="10"/>
  <c r="C20" i="12"/>
  <c r="C20" i="11"/>
  <c r="C20" i="8"/>
  <c r="C20" i="9"/>
  <c r="C20" i="7"/>
  <c r="C20" i="6"/>
  <c r="C20" i="5"/>
  <c r="C20" i="4"/>
  <c r="C20" i="26"/>
  <c r="C20" i="3"/>
  <c r="C20" i="2"/>
  <c r="C20" i="1"/>
  <c r="C29" i="4" l="1"/>
  <c r="C29" i="18"/>
  <c r="C29" i="17"/>
  <c r="C29" i="16"/>
  <c r="C29" i="15"/>
  <c r="C29" i="14"/>
  <c r="C29" i="13"/>
  <c r="C29" i="10"/>
  <c r="C29" i="12"/>
  <c r="C29" i="11"/>
  <c r="C29" i="8"/>
  <c r="C29" i="9"/>
  <c r="C29" i="7"/>
  <c r="C29" i="6"/>
  <c r="C29" i="5"/>
  <c r="C29" i="26"/>
  <c r="C29" i="3"/>
  <c r="C29" i="2"/>
  <c r="C29" i="1"/>
  <c r="C27" i="18"/>
  <c r="C27" i="17"/>
  <c r="C27" i="16"/>
  <c r="C27" i="15"/>
  <c r="C27" i="14"/>
  <c r="C27" i="13"/>
  <c r="C27" i="10"/>
  <c r="C27" i="12"/>
  <c r="C27" i="11"/>
  <c r="C27" i="8"/>
  <c r="C27" i="9"/>
  <c r="C27" i="7"/>
  <c r="C27" i="6"/>
  <c r="C27" i="5"/>
  <c r="C27" i="4"/>
  <c r="C27" i="26"/>
  <c r="C27" i="3"/>
  <c r="C27" i="2"/>
  <c r="C27" i="1"/>
  <c r="C26" i="18"/>
  <c r="C26" i="17"/>
  <c r="C26" i="16"/>
  <c r="C26" i="15"/>
  <c r="C26" i="14"/>
  <c r="C26" i="13"/>
  <c r="C26" i="10"/>
  <c r="C26" i="12"/>
  <c r="C26" i="11"/>
  <c r="C26" i="8"/>
  <c r="C26" i="9"/>
  <c r="C26" i="7"/>
  <c r="C26" i="6"/>
  <c r="C26" i="5"/>
  <c r="C26" i="4"/>
  <c r="C26" i="26"/>
  <c r="C26" i="3"/>
  <c r="C26" i="2"/>
  <c r="C26" i="1"/>
  <c r="C25" i="18" l="1"/>
  <c r="C25" i="17"/>
  <c r="C25" i="16"/>
  <c r="C25" i="15"/>
  <c r="C25" i="14"/>
  <c r="C25" i="13"/>
  <c r="C25" i="10"/>
  <c r="C25" i="12"/>
  <c r="C25" i="11"/>
  <c r="C25" i="8"/>
  <c r="C25" i="9"/>
  <c r="C25" i="7" l="1"/>
  <c r="C25" i="6"/>
  <c r="C25" i="5"/>
  <c r="C25" i="4"/>
  <c r="C25" i="26"/>
  <c r="C25" i="2"/>
  <c r="C23" i="10" l="1"/>
  <c r="C23" i="18" l="1"/>
  <c r="C23" i="17"/>
  <c r="C23" i="15"/>
  <c r="C23" i="14"/>
  <c r="C23" i="13"/>
  <c r="C23" i="12"/>
  <c r="C23" i="11"/>
  <c r="C23" i="8"/>
  <c r="C23" i="9"/>
  <c r="C23" i="7"/>
  <c r="C23" i="6"/>
  <c r="C23" i="5"/>
  <c r="C23" i="4"/>
  <c r="C23" i="26"/>
  <c r="C23" i="3"/>
  <c r="C23" i="2"/>
  <c r="C23" i="1"/>
  <c r="C23" i="16"/>
  <c r="C18" i="13" l="1"/>
  <c r="C18" i="16" l="1"/>
  <c r="C18" i="18"/>
  <c r="C18" i="17"/>
  <c r="C18" i="15"/>
  <c r="C18" i="14"/>
  <c r="C18" i="10"/>
  <c r="C18" i="12"/>
  <c r="C18" i="11"/>
  <c r="C18" i="8"/>
  <c r="C18" i="9"/>
  <c r="C18" i="7"/>
  <c r="C18" i="6"/>
  <c r="C18" i="5"/>
  <c r="C18" i="4"/>
  <c r="C18" i="26"/>
  <c r="C18" i="3"/>
  <c r="C18" i="2"/>
  <c r="C18" i="1"/>
  <c r="C19" i="14" l="1"/>
  <c r="C19" i="16"/>
  <c r="C19" i="3"/>
  <c r="C19" i="17" l="1"/>
  <c r="C22" i="9" l="1"/>
  <c r="C22" i="3"/>
  <c r="C22" i="1" l="1"/>
  <c r="C22" i="7"/>
  <c r="C30" i="4" l="1"/>
  <c r="D25" i="11"/>
  <c r="D25" i="9"/>
  <c r="D25" i="7"/>
  <c r="D26"/>
  <c r="D27"/>
  <c r="D28"/>
  <c r="D29"/>
  <c r="D25" i="4"/>
  <c r="D26"/>
  <c r="D27"/>
  <c r="D28"/>
  <c r="D29"/>
  <c r="D28" i="1"/>
  <c r="D19" i="18"/>
  <c r="D20"/>
  <c r="D21"/>
  <c r="D22"/>
  <c r="D23"/>
  <c r="D25"/>
  <c r="D26"/>
  <c r="D20" i="17"/>
  <c r="D21"/>
  <c r="D22"/>
  <c r="D23"/>
  <c r="D21" i="16"/>
  <c r="D22"/>
  <c r="D23"/>
  <c r="D25"/>
  <c r="D26"/>
  <c r="D22" i="15"/>
  <c r="D23"/>
  <c r="D25"/>
  <c r="D19" i="13"/>
  <c r="D20"/>
  <c r="D21"/>
  <c r="D22"/>
  <c r="D23"/>
  <c r="D22" i="10"/>
  <c r="D23"/>
  <c r="D23" i="12"/>
  <c r="D23" i="11"/>
  <c r="D22" i="8"/>
  <c r="D23"/>
  <c r="D22" i="9"/>
  <c r="D23"/>
  <c r="D22" i="7"/>
  <c r="D23"/>
  <c r="D22" i="6"/>
  <c r="D23"/>
  <c r="D22" i="5"/>
  <c r="D23"/>
  <c r="D22" i="4"/>
  <c r="D23"/>
  <c r="D22" i="26"/>
  <c r="D23"/>
  <c r="D21" i="3"/>
  <c r="D22"/>
  <c r="D23"/>
  <c r="D22" i="2"/>
  <c r="D23"/>
  <c r="D22" i="1"/>
  <c r="D23"/>
  <c r="D22" i="11" l="1"/>
  <c r="D22" i="12" l="1"/>
  <c r="D20" i="26" l="1"/>
  <c r="D19" i="17"/>
  <c r="D20" i="16"/>
  <c r="D19" i="15"/>
  <c r="D20"/>
  <c r="D21"/>
  <c r="D19" i="14"/>
  <c r="D20"/>
  <c r="D21"/>
  <c r="D19" i="10"/>
  <c r="D20"/>
  <c r="D21"/>
  <c r="D20" i="12"/>
  <c r="D21"/>
  <c r="D19" i="11"/>
  <c r="D20"/>
  <c r="D21"/>
  <c r="D19" i="8"/>
  <c r="D20"/>
  <c r="D21"/>
  <c r="D19" i="9"/>
  <c r="D20"/>
  <c r="D21"/>
  <c r="D19" i="7"/>
  <c r="D20"/>
  <c r="D21"/>
  <c r="D19" i="6"/>
  <c r="D20"/>
  <c r="D21"/>
  <c r="D19" i="5"/>
  <c r="D20"/>
  <c r="D21"/>
  <c r="D19" i="4"/>
  <c r="D20"/>
  <c r="D21"/>
  <c r="D19" i="26"/>
  <c r="D21"/>
  <c r="D19" i="3"/>
  <c r="D20"/>
  <c r="D19" i="2"/>
  <c r="D20"/>
  <c r="D21"/>
  <c r="D19" i="1"/>
  <c r="D20"/>
  <c r="D21"/>
  <c r="D19" i="16"/>
  <c r="D19" i="12"/>
  <c r="D18" i="18" l="1"/>
  <c r="D27"/>
  <c r="D28"/>
  <c r="D29"/>
  <c r="D31"/>
  <c r="D32"/>
  <c r="D33"/>
  <c r="C32"/>
  <c r="C30"/>
  <c r="D18" i="17"/>
  <c r="D25"/>
  <c r="D26"/>
  <c r="D27"/>
  <c r="D28"/>
  <c r="D29"/>
  <c r="D30"/>
  <c r="D31"/>
  <c r="D33"/>
  <c r="C32"/>
  <c r="D32" s="1"/>
  <c r="C30"/>
  <c r="D18" i="11"/>
  <c r="D28"/>
  <c r="D31"/>
  <c r="D33"/>
  <c r="C32"/>
  <c r="C30"/>
  <c r="D30" s="1"/>
  <c r="D18" i="16"/>
  <c r="D28"/>
  <c r="D31"/>
  <c r="D33"/>
  <c r="C32"/>
  <c r="C30"/>
  <c r="D30" s="1"/>
  <c r="D18" i="15"/>
  <c r="D26"/>
  <c r="D27"/>
  <c r="D28"/>
  <c r="D29"/>
  <c r="D31"/>
  <c r="D33"/>
  <c r="C32"/>
  <c r="D32" s="1"/>
  <c r="C30"/>
  <c r="D30" s="1"/>
  <c r="D18" i="14"/>
  <c r="D25"/>
  <c r="D26"/>
  <c r="D27"/>
  <c r="D28"/>
  <c r="D29"/>
  <c r="D31"/>
  <c r="D32"/>
  <c r="D33"/>
  <c r="C32"/>
  <c r="C30"/>
  <c r="D30" s="1"/>
  <c r="D18" i="13"/>
  <c r="D25"/>
  <c r="D26"/>
  <c r="D27"/>
  <c r="D28"/>
  <c r="D29"/>
  <c r="D30"/>
  <c r="D31"/>
  <c r="D33"/>
  <c r="C32"/>
  <c r="D32" s="1"/>
  <c r="C30"/>
  <c r="D18" i="10"/>
  <c r="D25"/>
  <c r="D26"/>
  <c r="D27"/>
  <c r="D28"/>
  <c r="D29"/>
  <c r="D31"/>
  <c r="D32"/>
  <c r="D33"/>
  <c r="D34"/>
  <c r="C32"/>
  <c r="C30"/>
  <c r="D30" s="1"/>
  <c r="D18" i="12"/>
  <c r="D25"/>
  <c r="D28"/>
  <c r="D31"/>
  <c r="D33"/>
  <c r="C32"/>
  <c r="D32" s="1"/>
  <c r="C30"/>
  <c r="D30" s="1"/>
  <c r="D33" i="8"/>
  <c r="D18"/>
  <c r="D25"/>
  <c r="D26"/>
  <c r="D27"/>
  <c r="D28"/>
  <c r="D29"/>
  <c r="D31"/>
  <c r="D32"/>
  <c r="C32"/>
  <c r="C30"/>
  <c r="D30" s="1"/>
  <c r="D18" i="9"/>
  <c r="D26"/>
  <c r="D27"/>
  <c r="D28"/>
  <c r="D29"/>
  <c r="D30"/>
  <c r="D31"/>
  <c r="D33"/>
  <c r="C32"/>
  <c r="D32" s="1"/>
  <c r="C30"/>
  <c r="D18" i="7"/>
  <c r="D31"/>
  <c r="D33"/>
  <c r="C32"/>
  <c r="D32" s="1"/>
  <c r="C30"/>
  <c r="D30" s="1"/>
  <c r="D18" i="6"/>
  <c r="D25"/>
  <c r="D26"/>
  <c r="D27"/>
  <c r="D28"/>
  <c r="D29"/>
  <c r="D30"/>
  <c r="D31"/>
  <c r="D33"/>
  <c r="C32"/>
  <c r="D32" s="1"/>
  <c r="C30"/>
  <c r="D18" i="5"/>
  <c r="D25"/>
  <c r="D26"/>
  <c r="D27"/>
  <c r="D28"/>
  <c r="D29"/>
  <c r="D30"/>
  <c r="D31"/>
  <c r="D33"/>
  <c r="C24" i="4"/>
  <c r="C24" i="26"/>
  <c r="C24" i="2"/>
  <c r="C24" i="1"/>
  <c r="C32" i="5"/>
  <c r="D32" s="1"/>
  <c r="C30"/>
  <c r="D18" i="4"/>
  <c r="D31"/>
  <c r="D33"/>
  <c r="C32"/>
  <c r="D32" s="1"/>
  <c r="D30"/>
  <c r="D18" i="26"/>
  <c r="D25"/>
  <c r="D26"/>
  <c r="D27"/>
  <c r="D28"/>
  <c r="D29"/>
  <c r="D31"/>
  <c r="D32"/>
  <c r="D33"/>
  <c r="C30"/>
  <c r="D30" s="1"/>
  <c r="C32"/>
  <c r="C32" i="3"/>
  <c r="D32" s="1"/>
  <c r="D18"/>
  <c r="D25"/>
  <c r="D26"/>
  <c r="D27"/>
  <c r="D28"/>
  <c r="D29"/>
  <c r="D30"/>
  <c r="D31"/>
  <c r="D33"/>
  <c r="C24"/>
  <c r="D25" i="2"/>
  <c r="D26"/>
  <c r="D27"/>
  <c r="D28"/>
  <c r="D29"/>
  <c r="D30"/>
  <c r="D31"/>
  <c r="D32"/>
  <c r="D33"/>
  <c r="D18"/>
  <c r="D30" i="18" l="1"/>
  <c r="C17" i="26"/>
  <c r="C16" s="1"/>
  <c r="C17" i="1"/>
  <c r="D24" i="4"/>
  <c r="C17"/>
  <c r="D17" s="1"/>
  <c r="D24" i="3"/>
  <c r="C17"/>
  <c r="D17" s="1"/>
  <c r="D24" i="2"/>
  <c r="C17"/>
  <c r="D32" i="16"/>
  <c r="D32" i="11"/>
  <c r="D24" i="26"/>
  <c r="C16" i="4" l="1"/>
  <c r="D16" s="1"/>
  <c r="D17" i="26"/>
  <c r="C16" i="3"/>
  <c r="C15" s="1"/>
  <c r="D15" s="1"/>
  <c r="D16" i="26"/>
  <c r="C15"/>
  <c r="D15" s="1"/>
  <c r="D17" i="2"/>
  <c r="C16"/>
  <c r="D16" i="3" l="1"/>
  <c r="C15" i="4"/>
  <c r="D15" s="1"/>
  <c r="C15" i="2"/>
  <c r="D16"/>
  <c r="D15" l="1"/>
  <c r="C32" i="1" l="1"/>
  <c r="C30"/>
  <c r="D17"/>
  <c r="D18"/>
  <c r="D24"/>
  <c r="D25"/>
  <c r="D26"/>
  <c r="D27"/>
  <c r="D29"/>
  <c r="D31"/>
  <c r="D33"/>
  <c r="D32" l="1"/>
  <c r="D30"/>
  <c r="C16"/>
  <c r="C15" l="1"/>
  <c r="D16"/>
  <c r="D29" i="11"/>
  <c r="D29" i="16"/>
  <c r="D27" i="11"/>
  <c r="D27" i="16"/>
  <c r="C24" i="18"/>
  <c r="C24" i="17"/>
  <c r="C24" i="15"/>
  <c r="C24" i="13"/>
  <c r="C24" i="6"/>
  <c r="D24" i="18" l="1"/>
  <c r="C17"/>
  <c r="D24" i="17"/>
  <c r="C17"/>
  <c r="D24" i="15"/>
  <c r="C17"/>
  <c r="D24" i="13"/>
  <c r="C17"/>
  <c r="C17" i="6"/>
  <c r="D24"/>
  <c r="C24" i="11"/>
  <c r="D26"/>
  <c r="D29" i="12"/>
  <c r="D27"/>
  <c r="D26"/>
  <c r="D15" i="1"/>
  <c r="C24" i="16"/>
  <c r="C24" i="14"/>
  <c r="C24" i="10"/>
  <c r="C24" i="12"/>
  <c r="C24" i="8"/>
  <c r="C24" i="9"/>
  <c r="C24" i="7"/>
  <c r="C24" i="5"/>
  <c r="D17" i="18" l="1"/>
  <c r="C16"/>
  <c r="D17" i="17"/>
  <c r="C16"/>
  <c r="D24" i="16"/>
  <c r="C17"/>
  <c r="D17" i="15"/>
  <c r="C16"/>
  <c r="C17" i="14"/>
  <c r="D24"/>
  <c r="D17" i="13"/>
  <c r="C16"/>
  <c r="D24" i="10"/>
  <c r="C17"/>
  <c r="D24" i="12"/>
  <c r="C17"/>
  <c r="D24" i="11"/>
  <c r="C17"/>
  <c r="C16" s="1"/>
  <c r="D24" i="8"/>
  <c r="C17"/>
  <c r="D24" i="9"/>
  <c r="C17"/>
  <c r="C17" i="7"/>
  <c r="D24"/>
  <c r="C16" i="6"/>
  <c r="D17"/>
  <c r="C17" i="5"/>
  <c r="D24"/>
  <c r="D17" i="11" l="1"/>
  <c r="C15" i="18"/>
  <c r="D15" s="1"/>
  <c r="D16"/>
  <c r="C15" i="17"/>
  <c r="D15" s="1"/>
  <c r="D16"/>
  <c r="C15" i="15"/>
  <c r="D15" s="1"/>
  <c r="D16"/>
  <c r="D17" i="14"/>
  <c r="C16"/>
  <c r="D16" i="13"/>
  <c r="C15"/>
  <c r="D15" s="1"/>
  <c r="D17" i="10"/>
  <c r="C16"/>
  <c r="D17" i="8"/>
  <c r="C16"/>
  <c r="D17" i="9"/>
  <c r="C16"/>
  <c r="C16" i="7"/>
  <c r="D17"/>
  <c r="C15" i="6"/>
  <c r="D15" s="1"/>
  <c r="D16"/>
  <c r="D17" i="5"/>
  <c r="C16"/>
  <c r="D16" i="11"/>
  <c r="C15"/>
  <c r="D15" s="1"/>
  <c r="C16" i="16"/>
  <c r="D17"/>
  <c r="C16" i="12"/>
  <c r="D17"/>
  <c r="D16" i="14" l="1"/>
  <c r="C15"/>
  <c r="D15" s="1"/>
  <c r="C15" i="10"/>
  <c r="D15" s="1"/>
  <c r="D16"/>
  <c r="D16" i="8"/>
  <c r="C15"/>
  <c r="D15" s="1"/>
  <c r="C15" i="9"/>
  <c r="D15" s="1"/>
  <c r="D16"/>
  <c r="C15" i="7"/>
  <c r="D15" s="1"/>
  <c r="D16"/>
  <c r="C15" i="5"/>
  <c r="D15" s="1"/>
  <c r="D16"/>
  <c r="D16" i="16"/>
  <c r="C15"/>
  <c r="D15" s="1"/>
  <c r="C15" i="12"/>
  <c r="D16"/>
  <c r="D15" l="1"/>
</calcChain>
</file>

<file path=xl/sharedStrings.xml><?xml version="1.0" encoding="utf-8"?>
<sst xmlns="http://schemas.openxmlformats.org/spreadsheetml/2006/main" count="743" uniqueCount="61">
  <si>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</si>
  <si>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</si>
  <si>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</si>
  <si>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</si>
  <si>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</si>
  <si>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</si>
  <si>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</si>
  <si>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</si>
  <si>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</si>
  <si>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</si>
  <si>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</si>
  <si>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</si>
  <si>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</si>
  <si>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</si>
  <si>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</si>
  <si>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</si>
  <si>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</si>
  <si>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</si>
  <si>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</si>
  <si>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</si>
  <si>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 xml:space="preserve">0611010 Надання  дошкільної освіти  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</si>
  <si>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</si>
  <si>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</si>
  <si>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</si>
  <si>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</si>
  <si>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</si>
  <si>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</si>
  <si>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</si>
  <si>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</si>
  <si>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</si>
  <si>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</si>
  <si>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Інші виплати населенню (стипендія міського голови)</t>
  </si>
  <si>
    <t>Інші виплати населенню (стипендія  міського голови)</t>
  </si>
  <si>
    <t>Надійшло коштів за звітний період (січень-грудень)</t>
  </si>
  <si>
    <t>Використано коштів за звітний період (січень-грудень)</t>
  </si>
  <si>
    <t xml:space="preserve">про надходження та використання коштів 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</si>
  <si>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</si>
  <si>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</si>
  <si>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Придбання обладнання і предметів довгострокового користування (депутатський фонд)</t>
  </si>
  <si>
    <t>Протипожежні заходи</t>
  </si>
  <si>
    <t/>
  </si>
  <si>
    <t>за ІII квартал 2022 р.</t>
  </si>
  <si>
    <t>Заклад дошкільної освіти (ясла-садок) комбінованого типу №14«Мальва» Запорізької міської ради</t>
  </si>
  <si>
    <t xml:space="preserve">Спеціальний заклад дошкільної освіти (ясла-садок) №39 "Оберіг" Запорізької міської ради </t>
  </si>
  <si>
    <t xml:space="preserve">Заклад дошкільної освіти (ясла - садок) комбінованого типу №43 «Смайлик» Запорізької міської ради </t>
  </si>
  <si>
    <t>Заклад дошкільної освіти (ясла-садок) № 89 «Казковий світ» Запорізької міської ради</t>
  </si>
  <si>
    <t xml:space="preserve">Заклад дошкільної освіти (ясла-садок) №100 "Гармонія" Запорізької міської ради </t>
  </si>
  <si>
    <t>Заклад дошкільної освіти (ясла-садок) №131 «Віночок»  Запорізької міської ради</t>
  </si>
  <si>
    <t>Заклад дошкільної освіти (ясла-садок) №133 «Струмочок»  Запорізької міської ради</t>
  </si>
  <si>
    <t xml:space="preserve">Заклад дошкільної освіти (ясла-садок) № 135 "Лебідь" Запорізької міської ради
</t>
  </si>
  <si>
    <t xml:space="preserve">Заклад дошкільної освіти (ясла-садок)
№ 143 «Квітковий» Запорізької міської ради
</t>
  </si>
  <si>
    <t>Заклад дошкільної освіти (ясла-садок) № 159 «Сузір’я» Запорізької ради</t>
  </si>
  <si>
    <t xml:space="preserve">Заклад дошкільної освіти (центр розвитку дитини) “Надія” Запорізької міської ради </t>
  </si>
  <si>
    <t xml:space="preserve">Заклад дошкільної освіти (ясла-садок) № 196 "Рожева зоренька" Запорізької міської ради </t>
  </si>
  <si>
    <t>Заклад дошкільної освіти (ясла-садок) № 210 «Славутич» Запорізької міської ради</t>
  </si>
  <si>
    <t>Заклад дошкільної освіти (ясла-садок) комбінованого типу № 217 «Грайлик» Запорізької міської ради</t>
  </si>
  <si>
    <t xml:space="preserve">Заклад дошкільної освіти (ясла-садок) комбінованого типу №226 "Дивограй" Запорізької міської ради </t>
  </si>
  <si>
    <t>Заклад дошкільної освіти (ясла-садок) комбінованого типу № 244 "Біла лілея" Запорізької міської ради</t>
  </si>
  <si>
    <t xml:space="preserve">Заклад дошкільної освіти (ясла-садок) №270 «Іскринка» Запорізької міської ради 
</t>
  </si>
  <si>
    <t xml:space="preserve">Заклад дошкільної освіти (ясла-садок) комбінованого типу № 280 «Родзинка» Запорізької міської ради </t>
  </si>
  <si>
    <t>Заклад дошкільної освіти (ясла-садок) комбінованого типу №284 «Зірковий» Запорізької міської ради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</si>
</sst>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/>
    <xf numFmtId="4" fontId="0" fillId="6" borderId="0" xfId="0" applyNumberFormat="1" applyFont="1" applyFill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0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top"/>
    </xf>
    <xf numFmtId="4" fontId="9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0" fillId="0" borderId="0" xfId="0" quotePrefix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5"/>
  <sheetViews>
    <sheetView view="pageBreakPreview" zoomScaleNormal="6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1.75" customHeight="1">
      <c r="A5" s="18" t="s">
        <v>23</v>
      </c>
      <c r="B5" s="36" t="s">
        <v>42</v>
      </c>
      <c r="C5" s="36"/>
      <c r="D5" s="36"/>
      <c r="E5" s="19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6.5" customHeight="1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ht="15.75" customHeight="1">
      <c r="A15" s="25" t="s">
        <v>3</v>
      </c>
      <c r="B15" s="25" t="s">
        <v>4</v>
      </c>
      <c r="C15" s="26">
        <f>C16+C32</f>
        <v>441686.07</v>
      </c>
      <c r="D15" s="26">
        <f>C15</f>
        <v>441686.07</v>
      </c>
      <c r="E15" s="22"/>
    </row>
    <row r="16" spans="1:5" ht="36" customHeight="1">
      <c r="A16" s="24" t="s">
        <v>18</v>
      </c>
      <c r="B16" s="25">
        <v>2000</v>
      </c>
      <c r="C16" s="26">
        <f>C17+C30</f>
        <v>441686.07</v>
      </c>
      <c r="D16" s="26">
        <f t="shared" ref="D16:D33" si="0">C16</f>
        <v>441686.07</v>
      </c>
      <c r="E16" s="22"/>
    </row>
    <row r="17" spans="1:5" ht="15.75" customHeight="1">
      <c r="A17" s="27" t="s">
        <v>5</v>
      </c>
      <c r="B17" s="25">
        <v>2200</v>
      </c>
      <c r="C17" s="26">
        <f>C18+C19+C20+C21+C24+C22+C23</f>
        <v>441686.07</v>
      </c>
      <c r="D17" s="26">
        <f t="shared" si="0"/>
        <v>441686.07</v>
      </c>
      <c r="E17" s="22"/>
    </row>
    <row r="18" spans="1:5" ht="15.75" customHeight="1">
      <c r="A18" s="28" t="s">
        <v>6</v>
      </c>
      <c r="B18" s="29">
        <v>2210</v>
      </c>
      <c r="C18" s="30">
        <f>3120+3865</f>
        <v>6985</v>
      </c>
      <c r="D18" s="30">
        <f t="shared" ref="D18:D23" si="1">C18</f>
        <v>6985</v>
      </c>
      <c r="E18" s="22"/>
    </row>
    <row r="19" spans="1:5" ht="15.75" customHeight="1">
      <c r="A19" s="28" t="s">
        <v>36</v>
      </c>
      <c r="B19" s="29">
        <v>2210</v>
      </c>
      <c r="C19" s="30"/>
      <c r="D19" s="30">
        <f t="shared" si="1"/>
        <v>0</v>
      </c>
      <c r="E19" s="22"/>
    </row>
    <row r="20" spans="1:5" ht="15.75" customHeight="1">
      <c r="A20" s="27" t="s">
        <v>7</v>
      </c>
      <c r="B20" s="25">
        <v>2240</v>
      </c>
      <c r="C20" s="26">
        <f>450+4455+1754.96+1097.48</f>
        <v>7757.4400000000005</v>
      </c>
      <c r="D20" s="30">
        <f t="shared" si="1"/>
        <v>7757.4400000000005</v>
      </c>
      <c r="E20" s="22"/>
    </row>
    <row r="21" spans="1:5" ht="15.75" customHeight="1">
      <c r="A21" s="27" t="s">
        <v>37</v>
      </c>
      <c r="B21" s="25">
        <v>2240</v>
      </c>
      <c r="C21" s="26"/>
      <c r="D21" s="30">
        <f t="shared" si="1"/>
        <v>0</v>
      </c>
      <c r="E21" s="22"/>
    </row>
    <row r="22" spans="1:5" ht="15.75" customHeight="1">
      <c r="A22" s="27" t="s">
        <v>19</v>
      </c>
      <c r="B22" s="25">
        <v>2240</v>
      </c>
      <c r="C22" s="26">
        <f>18163.31+11836.69</f>
        <v>30000</v>
      </c>
      <c r="D22" s="30">
        <f t="shared" si="1"/>
        <v>30000</v>
      </c>
      <c r="E22" s="22"/>
    </row>
    <row r="23" spans="1:5" ht="15.75" customHeight="1">
      <c r="A23" s="27" t="s">
        <v>39</v>
      </c>
      <c r="B23" s="25">
        <v>2240</v>
      </c>
      <c r="C23" s="26">
        <f>2687.78+780</f>
        <v>3467.78</v>
      </c>
      <c r="D23" s="30">
        <f t="shared" si="1"/>
        <v>3467.78</v>
      </c>
      <c r="E23" s="22"/>
    </row>
    <row r="24" spans="1:5" ht="15.75" customHeight="1">
      <c r="A24" s="27" t="s">
        <v>15</v>
      </c>
      <c r="B24" s="25">
        <v>2270</v>
      </c>
      <c r="C24" s="26">
        <f>SUM(C25:C29)</f>
        <v>393475.85</v>
      </c>
      <c r="D24" s="26">
        <f t="shared" si="0"/>
        <v>393475.85</v>
      </c>
      <c r="E24" s="22"/>
    </row>
    <row r="25" spans="1:5" ht="15.75" customHeight="1">
      <c r="A25" s="31" t="s">
        <v>9</v>
      </c>
      <c r="B25" s="24">
        <v>2271</v>
      </c>
      <c r="C25" s="32">
        <v>288110.93</v>
      </c>
      <c r="D25" s="32">
        <f t="shared" si="0"/>
        <v>288110.93</v>
      </c>
      <c r="E25" s="22"/>
    </row>
    <row r="26" spans="1:5" ht="15.75" customHeight="1">
      <c r="A26" s="31" t="s">
        <v>10</v>
      </c>
      <c r="B26" s="24">
        <v>2272</v>
      </c>
      <c r="C26" s="32">
        <f>12597.26</f>
        <v>12597.26</v>
      </c>
      <c r="D26" s="32">
        <f t="shared" si="0"/>
        <v>12597.26</v>
      </c>
      <c r="E26" s="22"/>
    </row>
    <row r="27" spans="1:5" ht="15.75" customHeight="1">
      <c r="A27" s="31" t="s">
        <v>11</v>
      </c>
      <c r="B27" s="24">
        <v>2273</v>
      </c>
      <c r="C27" s="32">
        <f>89813.4</f>
        <v>89813.4</v>
      </c>
      <c r="D27" s="32">
        <f t="shared" si="0"/>
        <v>89813.4</v>
      </c>
      <c r="E27" s="22"/>
    </row>
    <row r="28" spans="1:5" ht="15.75" hidden="1" customHeight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 ht="15.75" customHeight="1">
      <c r="A29" s="31" t="s">
        <v>8</v>
      </c>
      <c r="B29" s="24">
        <v>2275</v>
      </c>
      <c r="C29" s="33">
        <f>2954.26</f>
        <v>2954.26</v>
      </c>
      <c r="D29" s="33">
        <f t="shared" si="0"/>
        <v>2954.26</v>
      </c>
      <c r="E29" s="22"/>
    </row>
    <row r="30" spans="1:5" ht="15.75" customHeigh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 ht="15.75" customHeight="1">
      <c r="A31" s="31" t="s">
        <v>31</v>
      </c>
      <c r="B31" s="24">
        <v>2730</v>
      </c>
      <c r="C31" s="32"/>
      <c r="D31" s="32">
        <f t="shared" si="0"/>
        <v>0</v>
      </c>
      <c r="E31" s="22"/>
    </row>
    <row r="32" spans="1:5" ht="15.75" customHeigh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 ht="15.75" customHeight="1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5" customHeight="1">
      <c r="A34" s="23"/>
    </row>
    <row r="35" spans="1:5" ht="35.450000000000003" customHeight="1"/>
    <row r="36" spans="1:5" ht="15.75" customHeight="1"/>
    <row r="37" spans="1:5" ht="15.75" customHeight="1"/>
    <row r="38" spans="1:5" ht="36" customHeight="1"/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25.5" customHeight="1"/>
    <row r="71" ht="15.75" customHeight="1"/>
    <row r="72" ht="15.75" customHeight="1"/>
    <row r="73" ht="42.6" customHeight="1"/>
    <row r="74" ht="15.75" customHeight="1"/>
    <row r="75" ht="15.75" customHeight="1"/>
    <row r="76" ht="36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25.5" customHeight="1"/>
    <row r="109" ht="15.75" customHeight="1"/>
    <row r="110" ht="15.75" customHeight="1"/>
    <row r="111" ht="39" customHeight="1"/>
    <row r="112" ht="15.75" customHeight="1"/>
    <row r="113" ht="15.75" customHeight="1"/>
    <row r="114" ht="36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25.5" customHeight="1"/>
    <row r="147" ht="15.75" customHeight="1"/>
    <row r="148" ht="15.75" customHeight="1"/>
    <row r="149" ht="43.15" customHeight="1"/>
    <row r="150" ht="20.25" customHeight="1"/>
    <row r="151" ht="15.75" customHeight="1"/>
    <row r="152" ht="36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25.5" customHeight="1"/>
    <row r="185" ht="15.75" customHeight="1"/>
    <row r="186" ht="16.149999999999999" customHeight="1"/>
    <row r="187" ht="48" customHeight="1"/>
    <row r="188" ht="15.75" customHeight="1"/>
    <row r="189" ht="15.75" customHeight="1"/>
    <row r="190" ht="36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25.5" customHeight="1"/>
    <row r="223" ht="15.75" customHeight="1"/>
    <row r="224" ht="15.75" customHeight="1"/>
    <row r="225" ht="50.45" customHeight="1"/>
    <row r="226" ht="15.75" customHeight="1"/>
    <row r="227" ht="15.75" customHeight="1"/>
    <row r="228" ht="36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25.5" customHeight="1"/>
    <row r="261" ht="15.75" customHeight="1"/>
    <row r="262" ht="15.75" customHeight="1"/>
    <row r="263" ht="44.45" customHeight="1"/>
    <row r="264" ht="15.75" customHeight="1"/>
    <row r="265" ht="15.75" customHeight="1"/>
    <row r="266" ht="36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25.5" customHeight="1"/>
    <row r="299" ht="15.75" customHeight="1"/>
    <row r="300" ht="15.75" customHeight="1"/>
    <row r="301" ht="46.9" customHeight="1"/>
    <row r="302" ht="15.75" customHeight="1"/>
    <row r="303" ht="15.75" customHeight="1"/>
    <row r="304" ht="36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25.5" customHeight="1"/>
    <row r="337" ht="15.75" customHeight="1"/>
    <row r="338" ht="15.75" customHeight="1"/>
    <row r="339" ht="51" customHeight="1"/>
    <row r="340" ht="15.75" customHeight="1"/>
    <row r="341" ht="15.75" customHeight="1"/>
    <row r="342" ht="36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25.5" customHeight="1"/>
    <row r="375" ht="15.75" customHeight="1"/>
    <row r="376" ht="15.75" customHeight="1"/>
    <row r="377" ht="51" customHeight="1"/>
    <row r="378" ht="15.75" customHeight="1"/>
    <row r="379" ht="15.75" customHeight="1"/>
    <row r="380" ht="36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25.5" customHeight="1"/>
    <row r="413" ht="15.75" customHeight="1"/>
    <row r="414" ht="15.75" customHeight="1"/>
    <row r="415" ht="61.15" customHeight="1"/>
    <row r="416" ht="15.75" customHeight="1"/>
    <row r="417" ht="15.75" customHeight="1"/>
    <row r="418" ht="36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25.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</sheetData>
  <mergeCells count="5">
    <mergeCell ref="B5:D5"/>
    <mergeCell ref="A12:D12"/>
    <mergeCell ref="A1:D1"/>
    <mergeCell ref="A3:D3"/>
    <mergeCell ref="A2:D2"/>
  </mergeCells>
  <pageMargins left="0.70866141732283472" right="0.70866141732283472" top="0.55118110236220474" bottom="0.35433070866141736" header="0" footer="0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45" customHeight="1">
      <c r="A5" s="13" t="s">
        <v>23</v>
      </c>
      <c r="B5" s="42" t="s">
        <v>51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469408.47000000003</v>
      </c>
      <c r="D15" s="26">
        <f>C15</f>
        <v>469408.47000000003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469408.47000000003</v>
      </c>
      <c r="D16" s="26">
        <f t="shared" ref="D16:D33" si="0">C16</f>
        <v>469408.47000000003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469408.47000000003</v>
      </c>
      <c r="D17" s="26">
        <f t="shared" si="0"/>
        <v>469408.47000000003</v>
      </c>
      <c r="E17" s="15"/>
    </row>
    <row r="18" spans="1:5" s="9" customFormat="1">
      <c r="A18" s="28" t="s">
        <v>6</v>
      </c>
      <c r="B18" s="29">
        <v>2210</v>
      </c>
      <c r="C18" s="30">
        <f>4680+4615</f>
        <v>9295</v>
      </c>
      <c r="D18" s="30">
        <f t="shared" si="0"/>
        <v>9295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450+4410+686.4+2051.48</f>
        <v>7597.8799999999992</v>
      </c>
      <c r="D20" s="30">
        <f t="shared" si="0"/>
        <v>7597.8799999999992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2775.95+845</f>
        <v>3620.95</v>
      </c>
      <c r="D23" s="30">
        <f t="shared" si="0"/>
        <v>3620.95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448894.64</v>
      </c>
      <c r="D24" s="30">
        <f t="shared" si="0"/>
        <v>448894.64</v>
      </c>
      <c r="E24" s="15"/>
    </row>
    <row r="25" spans="1:5">
      <c r="A25" s="31" t="s">
        <v>9</v>
      </c>
      <c r="B25" s="24">
        <v>2271</v>
      </c>
      <c r="C25" s="32">
        <f>329221.43</f>
        <v>329221.43</v>
      </c>
      <c r="D25" s="32">
        <f t="shared" si="0"/>
        <v>329221.43</v>
      </c>
      <c r="E25" s="15"/>
    </row>
    <row r="26" spans="1:5">
      <c r="A26" s="31" t="s">
        <v>10</v>
      </c>
      <c r="B26" s="24">
        <v>2272</v>
      </c>
      <c r="C26" s="32">
        <f>19079.47</f>
        <v>19079.47</v>
      </c>
      <c r="D26" s="32">
        <f t="shared" si="0"/>
        <v>19079.47</v>
      </c>
      <c r="E26" s="15"/>
    </row>
    <row r="27" spans="1:5">
      <c r="A27" s="31" t="s">
        <v>11</v>
      </c>
      <c r="B27" s="24">
        <v>2273</v>
      </c>
      <c r="C27" s="32">
        <f>98061.52</f>
        <v>98061.52</v>
      </c>
      <c r="D27" s="32">
        <f t="shared" si="0"/>
        <v>98061.52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2532.22</f>
        <v>2532.2199999999998</v>
      </c>
      <c r="D29" s="33">
        <f t="shared" si="0"/>
        <v>2532.2199999999998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10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45" customHeight="1">
      <c r="A5" s="13" t="s">
        <v>23</v>
      </c>
      <c r="B5" s="42" t="s">
        <v>52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633622.25</v>
      </c>
      <c r="D15" s="26">
        <f>C15</f>
        <v>633622.25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633622.25</v>
      </c>
      <c r="D16" s="26">
        <f t="shared" ref="D16:D33" si="0">C16</f>
        <v>633622.25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633622.25</v>
      </c>
      <c r="D17" s="26">
        <f t="shared" si="0"/>
        <v>633622.25</v>
      </c>
      <c r="E17" s="15"/>
    </row>
    <row r="18" spans="1:5" s="9" customFormat="1">
      <c r="A18" s="28" t="s">
        <v>6</v>
      </c>
      <c r="B18" s="29">
        <v>2210</v>
      </c>
      <c r="C18" s="30">
        <f>5850+6635</f>
        <v>12485</v>
      </c>
      <c r="D18" s="30">
        <f t="shared" si="0"/>
        <v>12485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550+3132+1372.8+1979.48</f>
        <v>7034.2800000000007</v>
      </c>
      <c r="D20" s="30">
        <f t="shared" si="0"/>
        <v>7034.2800000000007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2548.68+650</f>
        <v>3198.68</v>
      </c>
      <c r="D23" s="30">
        <f t="shared" si="0"/>
        <v>3198.68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610904.28999999992</v>
      </c>
      <c r="D24" s="30">
        <f t="shared" si="0"/>
        <v>610904.28999999992</v>
      </c>
      <c r="E24" s="15"/>
    </row>
    <row r="25" spans="1:5">
      <c r="A25" s="31" t="s">
        <v>9</v>
      </c>
      <c r="B25" s="24">
        <v>2271</v>
      </c>
      <c r="C25" s="32">
        <f>487243.67</f>
        <v>487243.67</v>
      </c>
      <c r="D25" s="30">
        <f t="shared" si="0"/>
        <v>487243.67</v>
      </c>
      <c r="E25" s="15"/>
    </row>
    <row r="26" spans="1:5">
      <c r="A26" s="31" t="s">
        <v>10</v>
      </c>
      <c r="B26" s="24">
        <v>2272</v>
      </c>
      <c r="C26" s="32">
        <f>16428.62</f>
        <v>16428.62</v>
      </c>
      <c r="D26" s="32">
        <f t="shared" si="0"/>
        <v>16428.62</v>
      </c>
      <c r="E26" s="15"/>
    </row>
    <row r="27" spans="1:5">
      <c r="A27" s="31" t="s">
        <v>11</v>
      </c>
      <c r="B27" s="24">
        <v>2273</v>
      </c>
      <c r="C27" s="32">
        <f>103011.63</f>
        <v>103011.63</v>
      </c>
      <c r="D27" s="32">
        <f t="shared" si="0"/>
        <v>103011.63</v>
      </c>
      <c r="E27" s="15"/>
    </row>
    <row r="28" spans="1:5" hidden="1">
      <c r="A28" s="31" t="s">
        <v>12</v>
      </c>
      <c r="B28" s="24">
        <v>2274</v>
      </c>
      <c r="C28" s="32"/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4220.37</f>
        <v>4220.37</v>
      </c>
      <c r="D29" s="33">
        <f t="shared" si="0"/>
        <v>4220.37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 ht="24">
      <c r="A33" s="31" t="s">
        <v>38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45" customHeight="1">
      <c r="A5" s="13" t="s">
        <v>23</v>
      </c>
      <c r="B5" s="42" t="s">
        <v>53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529424.63</v>
      </c>
      <c r="D15" s="26">
        <f>C15</f>
        <v>529424.63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529424.63</v>
      </c>
      <c r="D16" s="26">
        <f t="shared" ref="D16:D33" si="0">C16</f>
        <v>529424.63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529424.63</v>
      </c>
      <c r="D17" s="26">
        <f t="shared" si="0"/>
        <v>529424.63</v>
      </c>
      <c r="E17" s="15"/>
    </row>
    <row r="18" spans="1:5" s="9" customFormat="1">
      <c r="A18" s="28" t="s">
        <v>6</v>
      </c>
      <c r="B18" s="29">
        <v>2210</v>
      </c>
      <c r="C18" s="30">
        <f>3900+3865</f>
        <v>7765</v>
      </c>
      <c r="D18" s="30">
        <f t="shared" si="0"/>
        <v>7765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350+8100+3132+1372.8+1997.48</f>
        <v>14952.279999999999</v>
      </c>
      <c r="D20" s="30">
        <f t="shared" si="0"/>
        <v>14952.279999999999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2619.52+552.5</f>
        <v>3172.02</v>
      </c>
      <c r="D23" s="30">
        <f t="shared" si="0"/>
        <v>3172.02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503535.33</v>
      </c>
      <c r="D24" s="30">
        <f t="shared" si="0"/>
        <v>503535.33</v>
      </c>
      <c r="E24" s="15"/>
    </row>
    <row r="25" spans="1:5">
      <c r="A25" s="31" t="s">
        <v>9</v>
      </c>
      <c r="B25" s="24">
        <v>2271</v>
      </c>
      <c r="C25" s="32">
        <f>392591.79</f>
        <v>392591.79</v>
      </c>
      <c r="D25" s="32">
        <f t="shared" si="0"/>
        <v>392591.79</v>
      </c>
      <c r="E25" s="15"/>
    </row>
    <row r="26" spans="1:5">
      <c r="A26" s="31" t="s">
        <v>10</v>
      </c>
      <c r="B26" s="24">
        <v>2272</v>
      </c>
      <c r="C26" s="32">
        <f>14910.82</f>
        <v>14910.82</v>
      </c>
      <c r="D26" s="32">
        <f t="shared" si="0"/>
        <v>14910.82</v>
      </c>
      <c r="E26" s="15"/>
    </row>
    <row r="27" spans="1:5">
      <c r="A27" s="31" t="s">
        <v>11</v>
      </c>
      <c r="B27" s="24">
        <v>2273</v>
      </c>
      <c r="C27" s="32">
        <f>90264.88</f>
        <v>90264.88</v>
      </c>
      <c r="D27" s="32">
        <f t="shared" si="0"/>
        <v>90264.88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5767.84</f>
        <v>5767.84</v>
      </c>
      <c r="D29" s="33">
        <f t="shared" si="0"/>
        <v>5767.84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>
        <v>0</v>
      </c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>
        <v>0</v>
      </c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4"/>
  <sheetViews>
    <sheetView view="pageBreakPreview" zoomScaleNormal="8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45" customHeight="1">
      <c r="A5" s="13" t="s">
        <v>23</v>
      </c>
      <c r="B5" s="42" t="s">
        <v>54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931477.71000000008</v>
      </c>
      <c r="D15" s="26">
        <f>C15</f>
        <v>931477.71000000008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931477.71000000008</v>
      </c>
      <c r="D16" s="26">
        <f t="shared" ref="D16:D34" si="0">C16</f>
        <v>931477.71000000008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931477.71000000008</v>
      </c>
      <c r="D17" s="26">
        <f t="shared" si="0"/>
        <v>931477.71000000008</v>
      </c>
      <c r="E17" s="15"/>
    </row>
    <row r="18" spans="1:5" s="9" customFormat="1">
      <c r="A18" s="28" t="s">
        <v>6</v>
      </c>
      <c r="B18" s="29">
        <v>2210</v>
      </c>
      <c r="C18" s="30">
        <f>6630+6495</f>
        <v>13125</v>
      </c>
      <c r="D18" s="30">
        <f t="shared" si="0"/>
        <v>13125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450+4410+686.4+4247.48</f>
        <v>9793.8799999999992</v>
      </c>
      <c r="D20" s="30">
        <f t="shared" si="0"/>
        <v>9793.8799999999992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3902.42+195</f>
        <v>4097.42</v>
      </c>
      <c r="D23" s="30">
        <f t="shared" si="0"/>
        <v>4097.42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904461.41</v>
      </c>
      <c r="D24" s="30">
        <f t="shared" si="0"/>
        <v>904461.41</v>
      </c>
      <c r="E24" s="15"/>
    </row>
    <row r="25" spans="1:5">
      <c r="A25" s="31" t="s">
        <v>9</v>
      </c>
      <c r="B25" s="24">
        <v>2271</v>
      </c>
      <c r="C25" s="32">
        <f>683348.21</f>
        <v>683348.21</v>
      </c>
      <c r="D25" s="32">
        <f t="shared" si="0"/>
        <v>683348.21</v>
      </c>
      <c r="E25" s="15"/>
    </row>
    <row r="26" spans="1:5">
      <c r="A26" s="31" t="s">
        <v>10</v>
      </c>
      <c r="B26" s="24">
        <v>2272</v>
      </c>
      <c r="C26" s="32">
        <f>25468.9</f>
        <v>25468.9</v>
      </c>
      <c r="D26" s="32">
        <f t="shared" si="0"/>
        <v>25468.9</v>
      </c>
      <c r="E26" s="15"/>
    </row>
    <row r="27" spans="1:5">
      <c r="A27" s="31" t="s">
        <v>11</v>
      </c>
      <c r="B27" s="24">
        <v>2273</v>
      </c>
      <c r="C27" s="32">
        <f>188751.03</f>
        <v>188751.03</v>
      </c>
      <c r="D27" s="32">
        <f t="shared" si="0"/>
        <v>188751.03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6893.27</f>
        <v>6893.27</v>
      </c>
      <c r="D29" s="33">
        <f t="shared" si="0"/>
        <v>6893.27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C34</f>
        <v>0</v>
      </c>
      <c r="D32" s="32">
        <f t="shared" si="0"/>
        <v>0</v>
      </c>
      <c r="E32" s="15"/>
    </row>
    <row r="33" spans="1:5" ht="24">
      <c r="A33" s="31" t="s">
        <v>38</v>
      </c>
      <c r="B33" s="24">
        <v>3110</v>
      </c>
      <c r="C33" s="32"/>
      <c r="D33" s="32">
        <f t="shared" si="0"/>
        <v>0</v>
      </c>
      <c r="E33" s="15"/>
    </row>
    <row r="34" spans="1:5">
      <c r="A34" s="31" t="s">
        <v>17</v>
      </c>
      <c r="B34" s="24">
        <v>3130</v>
      </c>
      <c r="C34" s="32"/>
      <c r="D34" s="32">
        <f t="shared" si="0"/>
        <v>0</v>
      </c>
      <c r="E34" s="15"/>
    </row>
    <row r="35" spans="1:5" ht="18">
      <c r="A35" s="4"/>
      <c r="C35" s="14"/>
      <c r="D35" s="14"/>
    </row>
    <row r="42" spans="1:5" s="5" customFormat="1"/>
    <row r="43" spans="1:5" s="5" customFormat="1"/>
    <row r="44" spans="1:5" s="5" customFormat="1"/>
    <row r="80" s="5" customFormat="1"/>
    <row r="81" s="5" customFormat="1"/>
    <row r="82" s="5" customFormat="1"/>
    <row r="118" s="5" customFormat="1"/>
    <row r="119" s="5" customFormat="1"/>
    <row r="120" s="5" customFormat="1"/>
    <row r="156" s="5" customFormat="1"/>
    <row r="157" s="5" customFormat="1"/>
    <row r="158" s="5" customFormat="1"/>
    <row r="194" s="5" customFormat="1"/>
    <row r="195" s="5" customFormat="1"/>
    <row r="196" s="5" customFormat="1"/>
    <row r="232" s="5" customFormat="1"/>
    <row r="233" s="5" customFormat="1"/>
    <row r="234" s="5" customFormat="1"/>
    <row r="270" s="5" customFormat="1"/>
    <row r="271" s="5" customFormat="1"/>
    <row r="272" s="5" customFormat="1"/>
    <row r="308" s="5" customFormat="1"/>
    <row r="309" s="5" customFormat="1"/>
    <row r="310" s="5" customFormat="1"/>
    <row r="346" s="5" customFormat="1"/>
    <row r="347" s="5" customFormat="1"/>
    <row r="348" s="5" customFormat="1"/>
    <row r="384" s="5" customFormat="1"/>
    <row r="385" s="5" customFormat="1"/>
    <row r="386" s="5" customFormat="1"/>
    <row r="422" s="5" customFormat="1"/>
    <row r="423" s="5" customFormat="1"/>
    <row r="424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7.5" customHeight="1">
      <c r="A5" s="13" t="s">
        <v>23</v>
      </c>
      <c r="B5" s="42" t="s">
        <v>55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670914.59</v>
      </c>
      <c r="D15" s="26">
        <f>C15</f>
        <v>670914.59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670914.59</v>
      </c>
      <c r="D16" s="26">
        <f t="shared" ref="D16:D33" si="0">C16</f>
        <v>670914.59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670914.59</v>
      </c>
      <c r="D17" s="26">
        <f t="shared" si="0"/>
        <v>670914.59</v>
      </c>
      <c r="E17" s="15"/>
    </row>
    <row r="18" spans="1:5" s="9" customFormat="1">
      <c r="A18" s="28" t="s">
        <v>6</v>
      </c>
      <c r="B18" s="29">
        <v>2210</v>
      </c>
      <c r="C18" s="30">
        <f>6240+6495+11759.87</f>
        <v>24494.870000000003</v>
      </c>
      <c r="D18" s="30">
        <f t="shared" si="0"/>
        <v>24494.870000000003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450+4455+686.4+2447.48</f>
        <v>8038.8799999999992</v>
      </c>
      <c r="D20" s="30">
        <f t="shared" si="0"/>
        <v>8038.8799999999992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3046.68+1072.5</f>
        <v>4119.18</v>
      </c>
      <c r="D23" s="30">
        <f t="shared" si="0"/>
        <v>4119.18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634261.65999999992</v>
      </c>
      <c r="D24" s="30">
        <f t="shared" si="0"/>
        <v>634261.65999999992</v>
      </c>
      <c r="E24" s="15"/>
    </row>
    <row r="25" spans="1:5">
      <c r="A25" s="31" t="s">
        <v>9</v>
      </c>
      <c r="B25" s="24">
        <v>2271</v>
      </c>
      <c r="C25" s="32">
        <f>469285.17</f>
        <v>469285.17</v>
      </c>
      <c r="D25" s="32">
        <f t="shared" si="0"/>
        <v>469285.17</v>
      </c>
      <c r="E25" s="15"/>
    </row>
    <row r="26" spans="1:5">
      <c r="A26" s="31" t="s">
        <v>10</v>
      </c>
      <c r="B26" s="24">
        <v>2272</v>
      </c>
      <c r="C26" s="32">
        <f>26105.62</f>
        <v>26105.62</v>
      </c>
      <c r="D26" s="32">
        <f t="shared" si="0"/>
        <v>26105.62</v>
      </c>
      <c r="E26" s="15"/>
    </row>
    <row r="27" spans="1:5">
      <c r="A27" s="31" t="s">
        <v>11</v>
      </c>
      <c r="B27" s="24">
        <v>2273</v>
      </c>
      <c r="C27" s="32">
        <f>132399.64</f>
        <v>132399.64000000001</v>
      </c>
      <c r="D27" s="32">
        <f t="shared" si="0"/>
        <v>132399.64000000001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6471.23</f>
        <v>6471.23</v>
      </c>
      <c r="D29" s="33">
        <f t="shared" si="0"/>
        <v>6471.23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90" zoomScaleSheetLayoutView="100" workbookViewId="0">
      <selection activeCell="C19" sqref="C19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7.5" customHeight="1">
      <c r="A5" s="13" t="s">
        <v>23</v>
      </c>
      <c r="B5" s="42" t="s">
        <v>56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710512.87</v>
      </c>
      <c r="D15" s="26">
        <f>C15</f>
        <v>710512.87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710512.87</v>
      </c>
      <c r="D16" s="26">
        <f t="shared" ref="D16:D33" si="0">C16</f>
        <v>710512.87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710512.87</v>
      </c>
      <c r="D17" s="26">
        <f t="shared" si="0"/>
        <v>710512.87</v>
      </c>
      <c r="E17" s="15"/>
    </row>
    <row r="18" spans="1:5" s="9" customFormat="1">
      <c r="A18" s="28" t="s">
        <v>6</v>
      </c>
      <c r="B18" s="29">
        <v>2210</v>
      </c>
      <c r="C18" s="30">
        <f>3900+5295</f>
        <v>9195</v>
      </c>
      <c r="D18" s="30">
        <f t="shared" si="0"/>
        <v>9195</v>
      </c>
      <c r="E18" s="15"/>
    </row>
    <row r="19" spans="1:5" s="9" customFormat="1">
      <c r="A19" s="28" t="s">
        <v>36</v>
      </c>
      <c r="B19" s="29">
        <v>2210</v>
      </c>
      <c r="C19" s="30">
        <f>24999.61</f>
        <v>24999.61</v>
      </c>
      <c r="D19" s="30">
        <f t="shared" si="0"/>
        <v>24999.61</v>
      </c>
      <c r="E19" s="15"/>
    </row>
    <row r="20" spans="1:5" s="9" customFormat="1">
      <c r="A20" s="27" t="s">
        <v>7</v>
      </c>
      <c r="B20" s="25">
        <v>2240</v>
      </c>
      <c r="C20" s="26">
        <f>450+4455+1372.8+1727.48</f>
        <v>8005.2800000000007</v>
      </c>
      <c r="D20" s="30">
        <f t="shared" si="0"/>
        <v>8005.2800000000007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/>
      <c r="E22" s="15"/>
    </row>
    <row r="23" spans="1:5" s="9" customFormat="1">
      <c r="A23" s="27" t="s">
        <v>39</v>
      </c>
      <c r="B23" s="25">
        <v>2240</v>
      </c>
      <c r="C23" s="26">
        <f>2995.69+682.5</f>
        <v>3678.19</v>
      </c>
      <c r="D23" s="26">
        <f t="shared" si="0"/>
        <v>3678.19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664634.79</v>
      </c>
      <c r="D24" s="26">
        <f t="shared" si="0"/>
        <v>664634.79</v>
      </c>
      <c r="E24" s="15"/>
    </row>
    <row r="25" spans="1:5">
      <c r="A25" s="31" t="s">
        <v>9</v>
      </c>
      <c r="B25" s="24">
        <v>2271</v>
      </c>
      <c r="C25" s="32">
        <f>539301.15</f>
        <v>539301.15</v>
      </c>
      <c r="D25" s="32">
        <f t="shared" si="0"/>
        <v>539301.15</v>
      </c>
      <c r="E25" s="15"/>
    </row>
    <row r="26" spans="1:5">
      <c r="A26" s="31" t="s">
        <v>10</v>
      </c>
      <c r="B26" s="24">
        <v>2272</v>
      </c>
      <c r="C26" s="32">
        <f>27989.28</f>
        <v>27989.279999999999</v>
      </c>
      <c r="D26" s="32">
        <f t="shared" si="0"/>
        <v>27989.279999999999</v>
      </c>
      <c r="E26" s="15"/>
    </row>
    <row r="27" spans="1:5">
      <c r="A27" s="31" t="s">
        <v>11</v>
      </c>
      <c r="B27" s="24">
        <v>2273</v>
      </c>
      <c r="C27" s="32">
        <f>94108.74</f>
        <v>94108.74</v>
      </c>
      <c r="D27" s="32">
        <f t="shared" si="0"/>
        <v>94108.74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3235.62</f>
        <v>3235.62</v>
      </c>
      <c r="D29" s="33">
        <f t="shared" si="0"/>
        <v>3235.62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7.5" customHeight="1">
      <c r="A5" s="13" t="s">
        <v>23</v>
      </c>
      <c r="B5" s="42" t="s">
        <v>57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900516.38</v>
      </c>
      <c r="D15" s="26">
        <f>C15</f>
        <v>900516.38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900516.38</v>
      </c>
      <c r="D16" s="26">
        <f t="shared" ref="D16:D33" si="0">C16</f>
        <v>900516.38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900516.38</v>
      </c>
      <c r="D17" s="26">
        <f t="shared" si="0"/>
        <v>900516.38</v>
      </c>
      <c r="E17" s="15"/>
    </row>
    <row r="18" spans="1:5" s="9" customFormat="1">
      <c r="A18" s="28" t="s">
        <v>6</v>
      </c>
      <c r="B18" s="29">
        <v>2210</v>
      </c>
      <c r="C18" s="30">
        <f>5850+6455</f>
        <v>12305</v>
      </c>
      <c r="D18" s="30">
        <f t="shared" si="0"/>
        <v>12305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450+4455+2059.2+2411.48</f>
        <v>9375.68</v>
      </c>
      <c r="D20" s="30">
        <f t="shared" si="0"/>
        <v>9375.68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3541.97+845</f>
        <v>4386.9699999999993</v>
      </c>
      <c r="D23" s="30">
        <f t="shared" si="0"/>
        <v>4386.9699999999993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874448.73</v>
      </c>
      <c r="D24" s="30">
        <f t="shared" si="0"/>
        <v>874448.73</v>
      </c>
      <c r="E24" s="15"/>
    </row>
    <row r="25" spans="1:5">
      <c r="A25" s="31" t="s">
        <v>9</v>
      </c>
      <c r="B25" s="24">
        <v>2271</v>
      </c>
      <c r="C25" s="32">
        <f>720703.3</f>
        <v>720703.3</v>
      </c>
      <c r="D25" s="30">
        <f t="shared" si="0"/>
        <v>720703.3</v>
      </c>
      <c r="E25" s="15"/>
    </row>
    <row r="26" spans="1:5">
      <c r="A26" s="31" t="s">
        <v>10</v>
      </c>
      <c r="B26" s="24">
        <v>2272</v>
      </c>
      <c r="C26" s="32">
        <f>23337.6</f>
        <v>23337.599999999999</v>
      </c>
      <c r="D26" s="32">
        <f t="shared" si="0"/>
        <v>23337.599999999999</v>
      </c>
      <c r="E26" s="15"/>
    </row>
    <row r="27" spans="1:5">
      <c r="A27" s="31" t="s">
        <v>11</v>
      </c>
      <c r="B27" s="24">
        <v>2273</v>
      </c>
      <c r="C27" s="32">
        <f>122389.13</f>
        <v>122389.13</v>
      </c>
      <c r="D27" s="32">
        <f t="shared" si="0"/>
        <v>122389.13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8018.7</f>
        <v>8018.7</v>
      </c>
      <c r="D29" s="33">
        <f t="shared" si="0"/>
        <v>8018.7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8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3.75" customHeight="1">
      <c r="A5" s="13" t="s">
        <v>23</v>
      </c>
      <c r="B5" s="42" t="s">
        <v>58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952603.79</v>
      </c>
      <c r="D15" s="26">
        <f>C15</f>
        <v>952603.79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952603.79</v>
      </c>
      <c r="D16" s="26">
        <f t="shared" ref="D16:D33" si="0">C16</f>
        <v>952603.79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952603.79</v>
      </c>
      <c r="D17" s="26">
        <f t="shared" si="0"/>
        <v>952603.79</v>
      </c>
      <c r="E17" s="15"/>
    </row>
    <row r="18" spans="1:5" s="9" customFormat="1">
      <c r="A18" s="28" t="s">
        <v>6</v>
      </c>
      <c r="B18" s="29">
        <v>2210</v>
      </c>
      <c r="C18" s="30">
        <f>5850+6255+8</f>
        <v>12113</v>
      </c>
      <c r="D18" s="30">
        <f t="shared" si="0"/>
        <v>12113</v>
      </c>
      <c r="E18" s="15"/>
    </row>
    <row r="19" spans="1:5" s="9" customFormat="1">
      <c r="A19" s="28" t="s">
        <v>36</v>
      </c>
      <c r="B19" s="29">
        <v>2210</v>
      </c>
      <c r="C19" s="30">
        <f>9966.94+39976.74</f>
        <v>49943.68</v>
      </c>
      <c r="D19" s="30">
        <f t="shared" si="0"/>
        <v>49943.68</v>
      </c>
      <c r="E19" s="15"/>
    </row>
    <row r="20" spans="1:5" s="9" customFormat="1">
      <c r="A20" s="27" t="s">
        <v>7</v>
      </c>
      <c r="B20" s="25">
        <v>2240</v>
      </c>
      <c r="C20" s="26">
        <f>450+18800+4455+1372.8+3041.48</f>
        <v>28119.279999999999</v>
      </c>
      <c r="D20" s="30">
        <f t="shared" si="0"/>
        <v>28119.279999999999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4759.93</f>
        <v>4759.93</v>
      </c>
      <c r="D23" s="30">
        <f t="shared" si="0"/>
        <v>4759.93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857667.9</v>
      </c>
      <c r="D24" s="30">
        <f t="shared" si="0"/>
        <v>857667.9</v>
      </c>
      <c r="E24" s="15"/>
    </row>
    <row r="25" spans="1:5">
      <c r="A25" s="31" t="s">
        <v>9</v>
      </c>
      <c r="B25" s="24">
        <v>2271</v>
      </c>
      <c r="C25" s="32">
        <f>600615.77</f>
        <v>600615.77</v>
      </c>
      <c r="D25" s="30">
        <f t="shared" si="0"/>
        <v>600615.77</v>
      </c>
      <c r="E25" s="15"/>
    </row>
    <row r="26" spans="1:5">
      <c r="A26" s="31" t="s">
        <v>10</v>
      </c>
      <c r="B26" s="24">
        <v>2272</v>
      </c>
      <c r="C26" s="32">
        <f>30099.16</f>
        <v>30099.16</v>
      </c>
      <c r="D26" s="30">
        <f t="shared" si="0"/>
        <v>30099.16</v>
      </c>
      <c r="E26" s="15"/>
    </row>
    <row r="27" spans="1:5">
      <c r="A27" s="31" t="s">
        <v>11</v>
      </c>
      <c r="B27" s="24">
        <v>2273</v>
      </c>
      <c r="C27" s="32">
        <f>219919.02</f>
        <v>219919.02</v>
      </c>
      <c r="D27" s="32">
        <f t="shared" si="0"/>
        <v>219919.02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7033.95</f>
        <v>7033.95</v>
      </c>
      <c r="D29" s="33">
        <f t="shared" si="0"/>
        <v>7033.95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8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3.75" customHeight="1">
      <c r="A5" s="13" t="s">
        <v>23</v>
      </c>
      <c r="B5" s="42" t="s">
        <v>59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1108131.81</v>
      </c>
      <c r="D15" s="26">
        <f>C15</f>
        <v>1108131.81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1108131.81</v>
      </c>
      <c r="D16" s="26">
        <f t="shared" ref="D16:D33" si="0">C16</f>
        <v>1108131.81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1108131.81</v>
      </c>
      <c r="D17" s="26">
        <f t="shared" si="0"/>
        <v>1108131.81</v>
      </c>
      <c r="E17" s="15"/>
    </row>
    <row r="18" spans="1:5" s="9" customFormat="1">
      <c r="A18" s="28" t="s">
        <v>6</v>
      </c>
      <c r="B18" s="29">
        <v>2210</v>
      </c>
      <c r="C18" s="30">
        <f>5850+6545</f>
        <v>12395</v>
      </c>
      <c r="D18" s="30">
        <f t="shared" si="0"/>
        <v>12395</v>
      </c>
      <c r="E18" s="15"/>
    </row>
    <row r="19" spans="1:5" s="9" customFormat="1">
      <c r="A19" s="28" t="s">
        <v>36</v>
      </c>
      <c r="B19" s="29">
        <v>2210</v>
      </c>
      <c r="C19" s="30">
        <f>19992.2</f>
        <v>19992.2</v>
      </c>
      <c r="D19" s="30">
        <f t="shared" si="0"/>
        <v>19992.2</v>
      </c>
      <c r="E19" s="15"/>
    </row>
    <row r="20" spans="1:5" s="9" customFormat="1">
      <c r="A20" s="27" t="s">
        <v>7</v>
      </c>
      <c r="B20" s="25">
        <v>2240</v>
      </c>
      <c r="C20" s="26">
        <f>450+4455+2059.2+2879.48</f>
        <v>9843.68</v>
      </c>
      <c r="D20" s="30">
        <f t="shared" si="0"/>
        <v>9843.68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2606.73+1235</f>
        <v>3841.73</v>
      </c>
      <c r="D23" s="30">
        <f t="shared" si="0"/>
        <v>3841.73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1062059.2</v>
      </c>
      <c r="D24" s="30">
        <f t="shared" si="0"/>
        <v>1062059.2</v>
      </c>
      <c r="E24" s="15"/>
    </row>
    <row r="25" spans="1:5">
      <c r="A25" s="31" t="s">
        <v>9</v>
      </c>
      <c r="B25" s="24">
        <v>2271</v>
      </c>
      <c r="C25" s="32">
        <f>874324.93</f>
        <v>874324.93</v>
      </c>
      <c r="D25" s="32">
        <f t="shared" si="0"/>
        <v>874324.93</v>
      </c>
      <c r="E25" s="15"/>
    </row>
    <row r="26" spans="1:5">
      <c r="A26" s="31" t="s">
        <v>10</v>
      </c>
      <c r="B26" s="24">
        <v>2272</v>
      </c>
      <c r="C26" s="32">
        <f>37871.28</f>
        <v>37871.279999999999</v>
      </c>
      <c r="D26" s="32">
        <f t="shared" si="0"/>
        <v>37871.279999999999</v>
      </c>
      <c r="E26" s="15"/>
    </row>
    <row r="27" spans="1:5">
      <c r="A27" s="31" t="s">
        <v>11</v>
      </c>
      <c r="B27" s="24">
        <v>2273</v>
      </c>
      <c r="C27" s="32">
        <f>143813.79</f>
        <v>143813.79</v>
      </c>
      <c r="D27" s="32">
        <f t="shared" si="0"/>
        <v>143813.79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6049.2</f>
        <v>6049.2</v>
      </c>
      <c r="D29" s="33">
        <f t="shared" si="0"/>
        <v>6049.2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36" spans="1:5" ht="15" customHeight="1">
      <c r="C36" s="14"/>
      <c r="D36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3"/>
  <sheetViews>
    <sheetView tabSelected="1" view="pageBreakPreview" zoomScaleNormal="8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3.75" customHeight="1">
      <c r="A5" s="13" t="s">
        <v>23</v>
      </c>
      <c r="B5" s="42" t="s">
        <v>60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1086368.3800000001</v>
      </c>
      <c r="D15" s="26">
        <f>C15</f>
        <v>1086368.3800000001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1086368.3800000001</v>
      </c>
      <c r="D16" s="26">
        <f t="shared" ref="D16:D33" si="0">C16</f>
        <v>1086368.3800000001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1086368.3800000001</v>
      </c>
      <c r="D17" s="26">
        <f t="shared" si="0"/>
        <v>1086368.3800000001</v>
      </c>
      <c r="E17" s="15"/>
    </row>
    <row r="18" spans="1:5" s="9" customFormat="1">
      <c r="A18" s="28" t="s">
        <v>6</v>
      </c>
      <c r="B18" s="29">
        <v>2210</v>
      </c>
      <c r="C18" s="30">
        <f>6240+6415</f>
        <v>12655</v>
      </c>
      <c r="D18" s="30">
        <f t="shared" si="0"/>
        <v>12655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450+4455+1374.4+3193.66</f>
        <v>9473.06</v>
      </c>
      <c r="D20" s="30">
        <f t="shared" si="0"/>
        <v>9473.06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15"/>
    </row>
    <row r="23" spans="1:5" s="9" customFormat="1">
      <c r="A23" s="27" t="s">
        <v>39</v>
      </c>
      <c r="B23" s="25">
        <v>2240</v>
      </c>
      <c r="C23" s="26">
        <f>6154.6+975</f>
        <v>7129.6</v>
      </c>
      <c r="D23" s="30">
        <f t="shared" si="0"/>
        <v>7129.6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1057110.72</v>
      </c>
      <c r="D24" s="30">
        <f t="shared" si="0"/>
        <v>1057110.72</v>
      </c>
      <c r="E24" s="15"/>
    </row>
    <row r="25" spans="1:5">
      <c r="A25" s="31" t="s">
        <v>9</v>
      </c>
      <c r="B25" s="24">
        <v>2271</v>
      </c>
      <c r="C25" s="32">
        <f>810352.29</f>
        <v>810352.29</v>
      </c>
      <c r="D25" s="30">
        <f t="shared" si="0"/>
        <v>810352.29</v>
      </c>
      <c r="E25" s="15"/>
    </row>
    <row r="26" spans="1:5">
      <c r="A26" s="31" t="s">
        <v>10</v>
      </c>
      <c r="B26" s="24">
        <v>2272</v>
      </c>
      <c r="C26" s="32">
        <f>38858.78</f>
        <v>38858.78</v>
      </c>
      <c r="D26" s="30">
        <f t="shared" si="0"/>
        <v>38858.78</v>
      </c>
      <c r="E26" s="15"/>
    </row>
    <row r="27" spans="1:5">
      <c r="A27" s="31" t="s">
        <v>11</v>
      </c>
      <c r="B27" s="24">
        <v>2273</v>
      </c>
      <c r="C27" s="32">
        <f>201709.77</f>
        <v>201709.77</v>
      </c>
      <c r="D27" s="32">
        <f t="shared" si="0"/>
        <v>201709.77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6189.88</f>
        <v>6189.88</v>
      </c>
      <c r="D29" s="33">
        <f t="shared" si="0"/>
        <v>6189.88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Normal="80" zoomScaleSheetLayoutView="100" workbookViewId="0">
      <selection activeCell="C18" sqref="C18:C24"/>
    </sheetView>
  </sheetViews>
  <sheetFormatPr defaultColWidth="14.42578125" defaultRowHeight="15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2.5" customHeight="1">
      <c r="A5" s="18" t="s">
        <v>23</v>
      </c>
      <c r="B5" s="36" t="s">
        <v>43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491686.42</v>
      </c>
      <c r="D15" s="26">
        <f>C15</f>
        <v>491686.42</v>
      </c>
      <c r="E15" s="22"/>
    </row>
    <row r="16" spans="1:5" ht="24">
      <c r="A16" s="24" t="s">
        <v>18</v>
      </c>
      <c r="B16" s="25">
        <v>2000</v>
      </c>
      <c r="C16" s="26">
        <f>C17+C30</f>
        <v>491686.42</v>
      </c>
      <c r="D16" s="26">
        <f t="shared" ref="D16:D33" si="0">C16</f>
        <v>491686.42</v>
      </c>
      <c r="E16" s="22"/>
    </row>
    <row r="17" spans="1:5">
      <c r="A17" s="27" t="s">
        <v>5</v>
      </c>
      <c r="B17" s="25">
        <v>2200</v>
      </c>
      <c r="C17" s="26">
        <f>C18+C19+C20+C21+C24+C22+C23</f>
        <v>491686.42</v>
      </c>
      <c r="D17" s="26">
        <f t="shared" si="0"/>
        <v>491686.42</v>
      </c>
      <c r="E17" s="22"/>
    </row>
    <row r="18" spans="1:5">
      <c r="A18" s="28" t="s">
        <v>6</v>
      </c>
      <c r="B18" s="29">
        <v>2210</v>
      </c>
      <c r="C18" s="30">
        <f>1560+3295</f>
        <v>4855</v>
      </c>
      <c r="D18" s="30">
        <f t="shared" si="0"/>
        <v>4855</v>
      </c>
      <c r="E18" s="22"/>
    </row>
    <row r="19" spans="1:5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>
      <c r="A20" s="27" t="s">
        <v>7</v>
      </c>
      <c r="B20" s="25">
        <v>2240</v>
      </c>
      <c r="C20" s="26">
        <f>200+4455+1754.96+1020.98</f>
        <v>7430.9400000000005</v>
      </c>
      <c r="D20" s="30">
        <f t="shared" si="0"/>
        <v>7430.9400000000005</v>
      </c>
      <c r="E20" s="22"/>
    </row>
    <row r="21" spans="1:5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>
      <c r="A22" s="27" t="s">
        <v>19</v>
      </c>
      <c r="B22" s="25">
        <v>2240</v>
      </c>
      <c r="C22" s="26"/>
      <c r="D22" s="30">
        <f t="shared" si="0"/>
        <v>0</v>
      </c>
      <c r="E22" s="22"/>
    </row>
    <row r="23" spans="1:5">
      <c r="A23" s="27" t="s">
        <v>39</v>
      </c>
      <c r="B23" s="25">
        <v>2240</v>
      </c>
      <c r="C23" s="26">
        <f>3547.41+682.5</f>
        <v>4229.91</v>
      </c>
      <c r="D23" s="30">
        <f t="shared" si="0"/>
        <v>4229.91</v>
      </c>
      <c r="E23" s="22"/>
    </row>
    <row r="24" spans="1:5">
      <c r="A24" s="27" t="s">
        <v>15</v>
      </c>
      <c r="B24" s="25">
        <v>2270</v>
      </c>
      <c r="C24" s="26">
        <f>SUM(C25:C29)</f>
        <v>475170.57</v>
      </c>
      <c r="D24" s="26">
        <f t="shared" si="0"/>
        <v>475170.57</v>
      </c>
      <c r="E24" s="22"/>
    </row>
    <row r="25" spans="1:5">
      <c r="A25" s="31" t="s">
        <v>9</v>
      </c>
      <c r="B25" s="24">
        <v>2271</v>
      </c>
      <c r="C25" s="32">
        <f>388967.41</f>
        <v>388967.41</v>
      </c>
      <c r="D25" s="32">
        <f t="shared" si="0"/>
        <v>388967.41</v>
      </c>
      <c r="E25" s="22"/>
    </row>
    <row r="26" spans="1:5">
      <c r="A26" s="31" t="s">
        <v>10</v>
      </c>
      <c r="B26" s="24">
        <v>2272</v>
      </c>
      <c r="C26" s="32">
        <f>13362.58</f>
        <v>13362.58</v>
      </c>
      <c r="D26" s="32">
        <f t="shared" si="0"/>
        <v>13362.58</v>
      </c>
      <c r="E26" s="22"/>
    </row>
    <row r="27" spans="1:5">
      <c r="A27" s="31" t="s">
        <v>11</v>
      </c>
      <c r="B27" s="24">
        <v>2273</v>
      </c>
      <c r="C27" s="32">
        <f>69464.28</f>
        <v>69464.28</v>
      </c>
      <c r="D27" s="32">
        <f t="shared" si="0"/>
        <v>69464.28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3376.3</f>
        <v>3376.3</v>
      </c>
      <c r="D29" s="33">
        <f t="shared" si="0"/>
        <v>3376.3</v>
      </c>
      <c r="E29" s="22"/>
    </row>
    <row r="30" spans="1:5">
      <c r="A30" s="27" t="s">
        <v>13</v>
      </c>
      <c r="B30" s="25">
        <v>2700</v>
      </c>
      <c r="C30" s="32"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>
      <c r="A32" s="25" t="s">
        <v>14</v>
      </c>
      <c r="B32" s="25">
        <v>3000</v>
      </c>
      <c r="C32" s="32">
        <v>0</v>
      </c>
      <c r="D32" s="32">
        <f t="shared" si="0"/>
        <v>0</v>
      </c>
      <c r="E32" s="22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  <c r="C34" s="22"/>
      <c r="D34" s="22"/>
    </row>
    <row r="35" spans="1:5">
      <c r="C35" s="22"/>
      <c r="D35" s="22"/>
    </row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6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2.5" customHeight="1">
      <c r="A5" s="18" t="s">
        <v>23</v>
      </c>
      <c r="B5" s="36" t="s">
        <v>44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1008854.9199999998</v>
      </c>
      <c r="D15" s="26">
        <f>C15</f>
        <v>1008854.9199999998</v>
      </c>
      <c r="E15" s="22"/>
    </row>
    <row r="16" spans="1:5" ht="24">
      <c r="A16" s="24" t="s">
        <v>18</v>
      </c>
      <c r="B16" s="25">
        <v>2000</v>
      </c>
      <c r="C16" s="26">
        <f>C17+C30</f>
        <v>1008854.9199999998</v>
      </c>
      <c r="D16" s="26">
        <f t="shared" ref="D16:D33" si="0">C16</f>
        <v>1008854.9199999998</v>
      </c>
      <c r="E16" s="22"/>
    </row>
    <row r="17" spans="1:10">
      <c r="A17" s="27" t="s">
        <v>5</v>
      </c>
      <c r="B17" s="25">
        <v>2200</v>
      </c>
      <c r="C17" s="26">
        <f>C18+C19+C20+C21+C24+C22+C23</f>
        <v>1008854.9199999998</v>
      </c>
      <c r="D17" s="26">
        <f t="shared" si="0"/>
        <v>1008854.9199999998</v>
      </c>
      <c r="E17" s="22"/>
    </row>
    <row r="18" spans="1:10">
      <c r="A18" s="28" t="s">
        <v>6</v>
      </c>
      <c r="B18" s="29">
        <v>2210</v>
      </c>
      <c r="C18" s="30">
        <f>5850+5925</f>
        <v>11775</v>
      </c>
      <c r="D18" s="30">
        <f t="shared" si="0"/>
        <v>11775</v>
      </c>
      <c r="E18" s="22"/>
    </row>
    <row r="19" spans="1:10">
      <c r="A19" s="28" t="s">
        <v>36</v>
      </c>
      <c r="B19" s="29">
        <v>2210</v>
      </c>
      <c r="C19" s="30">
        <f>40098</f>
        <v>40098</v>
      </c>
      <c r="D19" s="30">
        <f t="shared" si="0"/>
        <v>40098</v>
      </c>
      <c r="E19" s="22"/>
    </row>
    <row r="20" spans="1:10">
      <c r="A20" s="27" t="s">
        <v>7</v>
      </c>
      <c r="B20" s="25">
        <v>2240</v>
      </c>
      <c r="C20" s="26">
        <f>450+4455+2059.2+3617.48</f>
        <v>10581.68</v>
      </c>
      <c r="D20" s="30">
        <f t="shared" si="0"/>
        <v>10581.68</v>
      </c>
      <c r="E20" s="22"/>
    </row>
    <row r="21" spans="1:10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10">
      <c r="A22" s="27" t="s">
        <v>19</v>
      </c>
      <c r="B22" s="25">
        <v>2240</v>
      </c>
      <c r="C22" s="26">
        <f>49900</f>
        <v>49900</v>
      </c>
      <c r="D22" s="30">
        <f t="shared" si="0"/>
        <v>49900</v>
      </c>
      <c r="E22" s="22"/>
    </row>
    <row r="23" spans="1:10">
      <c r="A23" s="27" t="s">
        <v>39</v>
      </c>
      <c r="B23" s="25">
        <v>2240</v>
      </c>
      <c r="C23" s="26">
        <f>5005.64+1114.3</f>
        <v>6119.9400000000005</v>
      </c>
      <c r="D23" s="30">
        <f t="shared" si="0"/>
        <v>6119.9400000000005</v>
      </c>
      <c r="E23" s="22"/>
    </row>
    <row r="24" spans="1:10">
      <c r="A24" s="27" t="s">
        <v>15</v>
      </c>
      <c r="B24" s="25">
        <v>2270</v>
      </c>
      <c r="C24" s="26">
        <f>SUM(C25:C29)</f>
        <v>890380.29999999981</v>
      </c>
      <c r="D24" s="26">
        <f t="shared" si="0"/>
        <v>890380.29999999981</v>
      </c>
      <c r="E24" s="22"/>
    </row>
    <row r="25" spans="1:10">
      <c r="A25" s="31" t="s">
        <v>9</v>
      </c>
      <c r="B25" s="24">
        <v>2271</v>
      </c>
      <c r="C25" s="32">
        <v>666006.44999999995</v>
      </c>
      <c r="D25" s="32">
        <f t="shared" si="0"/>
        <v>666006.44999999995</v>
      </c>
      <c r="E25" s="22"/>
    </row>
    <row r="26" spans="1:10">
      <c r="A26" s="31" t="s">
        <v>10</v>
      </c>
      <c r="B26" s="24">
        <v>2272</v>
      </c>
      <c r="C26" s="32">
        <f>6206.59</f>
        <v>6206.59</v>
      </c>
      <c r="D26" s="32">
        <f t="shared" si="0"/>
        <v>6206.59</v>
      </c>
      <c r="E26" s="22"/>
    </row>
    <row r="27" spans="1:10">
      <c r="A27" s="31" t="s">
        <v>11</v>
      </c>
      <c r="B27" s="24">
        <v>2273</v>
      </c>
      <c r="C27" s="32">
        <f>214087.57</f>
        <v>214087.57</v>
      </c>
      <c r="D27" s="32">
        <f t="shared" si="0"/>
        <v>214087.57</v>
      </c>
      <c r="E27" s="22"/>
    </row>
    <row r="28" spans="1:10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  <c r="J28" s="34" t="s">
        <v>40</v>
      </c>
    </row>
    <row r="29" spans="1:10">
      <c r="A29" s="31" t="s">
        <v>8</v>
      </c>
      <c r="B29" s="24">
        <v>2275</v>
      </c>
      <c r="C29" s="33">
        <f>4079.69</f>
        <v>4079.69</v>
      </c>
      <c r="D29" s="33">
        <f t="shared" si="0"/>
        <v>4079.69</v>
      </c>
      <c r="E29" s="22"/>
    </row>
    <row r="30" spans="1:10">
      <c r="A30" s="27" t="s">
        <v>13</v>
      </c>
      <c r="B30" s="25">
        <v>2700</v>
      </c>
      <c r="C30" s="32">
        <v>0</v>
      </c>
      <c r="D30" s="32">
        <f t="shared" si="0"/>
        <v>0</v>
      </c>
      <c r="E30" s="22"/>
    </row>
    <row r="31" spans="1:10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10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 ht="24">
      <c r="A33" s="31" t="s">
        <v>38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</row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2.5" customHeight="1">
      <c r="A5" s="18" t="s">
        <v>23</v>
      </c>
      <c r="B5" s="36" t="s">
        <v>45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455651.00000000006</v>
      </c>
      <c r="D15" s="26">
        <f>C15</f>
        <v>455651.00000000006</v>
      </c>
      <c r="E15" s="22"/>
    </row>
    <row r="16" spans="1:5" ht="24">
      <c r="A16" s="24" t="s">
        <v>18</v>
      </c>
      <c r="B16" s="25">
        <v>2000</v>
      </c>
      <c r="C16" s="26">
        <f>C17+C30</f>
        <v>455651.00000000006</v>
      </c>
      <c r="D16" s="26">
        <f t="shared" ref="D16:D33" si="0">C16</f>
        <v>455651.00000000006</v>
      </c>
      <c r="E16" s="22"/>
    </row>
    <row r="17" spans="1:5">
      <c r="A17" s="27" t="s">
        <v>5</v>
      </c>
      <c r="B17" s="25">
        <v>2200</v>
      </c>
      <c r="C17" s="26">
        <f>C18+C19+C20+C21+C24+C22+C23</f>
        <v>455651.00000000006</v>
      </c>
      <c r="D17" s="26">
        <f t="shared" si="0"/>
        <v>455651.00000000006</v>
      </c>
      <c r="E17" s="22"/>
    </row>
    <row r="18" spans="1:5">
      <c r="A18" s="28" t="s">
        <v>6</v>
      </c>
      <c r="B18" s="29">
        <v>2210</v>
      </c>
      <c r="C18" s="30">
        <f>3120+3865</f>
        <v>6985</v>
      </c>
      <c r="D18" s="30">
        <f t="shared" si="0"/>
        <v>6985</v>
      </c>
      <c r="E18" s="22"/>
    </row>
    <row r="19" spans="1:5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>
      <c r="A20" s="27" t="s">
        <v>7</v>
      </c>
      <c r="B20" s="25">
        <v>2240</v>
      </c>
      <c r="C20" s="26">
        <f>350+4455+2475.04+1115.48</f>
        <v>8395.52</v>
      </c>
      <c r="D20" s="30">
        <f t="shared" si="0"/>
        <v>8395.52</v>
      </c>
      <c r="E20" s="22"/>
    </row>
    <row r="21" spans="1:5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>
      <c r="A22" s="27" t="s">
        <v>19</v>
      </c>
      <c r="B22" s="25">
        <v>2240</v>
      </c>
      <c r="C22" s="26"/>
      <c r="D22" s="30">
        <f t="shared" si="0"/>
        <v>0</v>
      </c>
      <c r="E22" s="22"/>
    </row>
    <row r="23" spans="1:5">
      <c r="A23" s="27" t="s">
        <v>39</v>
      </c>
      <c r="B23" s="25">
        <v>2240</v>
      </c>
      <c r="C23" s="26">
        <f>2561.59+780</f>
        <v>3341.59</v>
      </c>
      <c r="D23" s="30">
        <f t="shared" si="0"/>
        <v>3341.59</v>
      </c>
      <c r="E23" s="22"/>
    </row>
    <row r="24" spans="1:5">
      <c r="A24" s="27" t="s">
        <v>15</v>
      </c>
      <c r="B24" s="25">
        <v>2270</v>
      </c>
      <c r="C24" s="26">
        <f>SUM(C25:C29)</f>
        <v>436928.89</v>
      </c>
      <c r="D24" s="26">
        <f t="shared" si="0"/>
        <v>436928.89</v>
      </c>
      <c r="E24" s="22"/>
    </row>
    <row r="25" spans="1:5">
      <c r="A25" s="31" t="s">
        <v>9</v>
      </c>
      <c r="B25" s="24">
        <v>2271</v>
      </c>
      <c r="C25" s="32">
        <f>307857.43</f>
        <v>307857.43</v>
      </c>
      <c r="D25" s="32">
        <f t="shared" si="0"/>
        <v>307857.43</v>
      </c>
      <c r="E25" s="22"/>
    </row>
    <row r="26" spans="1:5">
      <c r="A26" s="31" t="s">
        <v>10</v>
      </c>
      <c r="B26" s="24">
        <v>2272</v>
      </c>
      <c r="C26" s="32">
        <f>14903.53</f>
        <v>14903.53</v>
      </c>
      <c r="D26" s="32">
        <f t="shared" si="0"/>
        <v>14903.53</v>
      </c>
      <c r="E26" s="22"/>
    </row>
    <row r="27" spans="1:5">
      <c r="A27" s="31" t="s">
        <v>11</v>
      </c>
      <c r="B27" s="24">
        <v>2273</v>
      </c>
      <c r="C27" s="32">
        <f>110228.92</f>
        <v>110228.92</v>
      </c>
      <c r="D27" s="32">
        <f t="shared" si="0"/>
        <v>110228.92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3939.01</f>
        <v>3939.01</v>
      </c>
      <c r="D29" s="33">
        <f t="shared" si="0"/>
        <v>3939.01</v>
      </c>
      <c r="E29" s="22"/>
    </row>
    <row r="30" spans="1:5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  <c r="C34" s="22"/>
      <c r="D34" s="22"/>
    </row>
    <row r="35" spans="1:5" ht="15" customHeight="1">
      <c r="C35" s="22"/>
      <c r="D35" s="22"/>
    </row>
    <row r="36" spans="1:5" ht="15" customHeight="1">
      <c r="C36" s="22"/>
      <c r="D36" s="22"/>
    </row>
    <row r="37" spans="1:5" ht="15" customHeight="1">
      <c r="C37" s="22"/>
      <c r="D37" s="22"/>
    </row>
    <row r="38" spans="1:5" ht="15" customHeight="1">
      <c r="C38" s="22"/>
      <c r="D38" s="22"/>
    </row>
    <row r="39" spans="1:5" ht="15" customHeight="1"/>
    <row r="40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6" ht="15" customHeight="1"/>
    <row r="197" ht="15" customHeigh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2.5" customHeight="1">
      <c r="A5" s="18" t="s">
        <v>23</v>
      </c>
      <c r="B5" s="36" t="s">
        <v>46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218209.71</v>
      </c>
      <c r="D15" s="26">
        <f>C15</f>
        <v>218209.71</v>
      </c>
      <c r="E15" s="22"/>
    </row>
    <row r="16" spans="1:5" ht="24">
      <c r="A16" s="24" t="s">
        <v>18</v>
      </c>
      <c r="B16" s="25">
        <v>2000</v>
      </c>
      <c r="C16" s="26">
        <f>C17+C30</f>
        <v>218209.71</v>
      </c>
      <c r="D16" s="26">
        <f t="shared" ref="D16:D33" si="0">C16</f>
        <v>218209.71</v>
      </c>
      <c r="E16" s="22"/>
    </row>
    <row r="17" spans="1:5">
      <c r="A17" s="27" t="s">
        <v>5</v>
      </c>
      <c r="B17" s="25">
        <v>2200</v>
      </c>
      <c r="C17" s="26">
        <f>C18+C19+C20+C21+C24+C22+C23</f>
        <v>218209.71</v>
      </c>
      <c r="D17" s="26">
        <f t="shared" si="0"/>
        <v>218209.71</v>
      </c>
      <c r="E17" s="22"/>
    </row>
    <row r="18" spans="1:5">
      <c r="A18" s="28" t="s">
        <v>6</v>
      </c>
      <c r="B18" s="29">
        <v>2210</v>
      </c>
      <c r="C18" s="30">
        <f>3120+3865</f>
        <v>6985</v>
      </c>
      <c r="D18" s="30">
        <f t="shared" si="0"/>
        <v>6985</v>
      </c>
      <c r="E18" s="22"/>
    </row>
    <row r="19" spans="1:5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>
      <c r="A20" s="27" t="s">
        <v>7</v>
      </c>
      <c r="B20" s="25">
        <v>2240</v>
      </c>
      <c r="C20" s="26">
        <f>350+4410+1372.8+1547.48</f>
        <v>7680.2800000000007</v>
      </c>
      <c r="D20" s="30">
        <f t="shared" si="0"/>
        <v>7680.2800000000007</v>
      </c>
      <c r="E20" s="22"/>
    </row>
    <row r="21" spans="1:5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>
      <c r="A22" s="27" t="s">
        <v>19</v>
      </c>
      <c r="B22" s="25">
        <v>2240</v>
      </c>
      <c r="C22" s="26"/>
      <c r="D22" s="30">
        <f t="shared" si="0"/>
        <v>0</v>
      </c>
      <c r="E22" s="22"/>
    </row>
    <row r="23" spans="1:5">
      <c r="A23" s="27" t="s">
        <v>39</v>
      </c>
      <c r="B23" s="25">
        <v>2240</v>
      </c>
      <c r="C23" s="26">
        <f>3493.1+357.5</f>
        <v>3850.6</v>
      </c>
      <c r="D23" s="30">
        <f t="shared" si="0"/>
        <v>3850.6</v>
      </c>
      <c r="E23" s="22"/>
    </row>
    <row r="24" spans="1:5">
      <c r="A24" s="27" t="s">
        <v>15</v>
      </c>
      <c r="B24" s="25">
        <v>2270</v>
      </c>
      <c r="C24" s="26">
        <f>SUM(C25:C29)</f>
        <v>199693.83</v>
      </c>
      <c r="D24" s="26">
        <f t="shared" si="0"/>
        <v>199693.83</v>
      </c>
      <c r="E24" s="22"/>
    </row>
    <row r="25" spans="1:5">
      <c r="A25" s="31" t="s">
        <v>9</v>
      </c>
      <c r="B25" s="24">
        <v>2271</v>
      </c>
      <c r="C25" s="32">
        <f>147817.41</f>
        <v>147817.41</v>
      </c>
      <c r="D25" s="32">
        <f t="shared" si="0"/>
        <v>147817.41</v>
      </c>
      <c r="E25" s="22"/>
    </row>
    <row r="26" spans="1:5">
      <c r="A26" s="31" t="s">
        <v>10</v>
      </c>
      <c r="B26" s="24">
        <v>2272</v>
      </c>
      <c r="C26" s="32">
        <f>9579.12</f>
        <v>9579.1200000000008</v>
      </c>
      <c r="D26" s="32">
        <f t="shared" si="0"/>
        <v>9579.1200000000008</v>
      </c>
      <c r="E26" s="22"/>
    </row>
    <row r="27" spans="1:5">
      <c r="A27" s="31" t="s">
        <v>11</v>
      </c>
      <c r="B27" s="24">
        <v>2273</v>
      </c>
      <c r="C27" s="32">
        <f>39765.08</f>
        <v>39765.08</v>
      </c>
      <c r="D27" s="32">
        <f t="shared" si="0"/>
        <v>39765.08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2532.22</f>
        <v>2532.2199999999998</v>
      </c>
      <c r="D29" s="33">
        <f t="shared" si="0"/>
        <v>2532.2199999999998</v>
      </c>
      <c r="E29" s="22"/>
    </row>
    <row r="30" spans="1:5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  <c r="C34" s="22"/>
      <c r="D34" s="22"/>
    </row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Normal="8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62.25" customHeight="1">
      <c r="A5" s="18" t="s">
        <v>23</v>
      </c>
      <c r="B5" s="36" t="s">
        <v>47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364674.42000000004</v>
      </c>
      <c r="D15" s="26">
        <f>C15</f>
        <v>364674.42000000004</v>
      </c>
      <c r="E15" s="22"/>
    </row>
    <row r="16" spans="1:5" ht="24">
      <c r="A16" s="24" t="s">
        <v>18</v>
      </c>
      <c r="B16" s="25">
        <v>2000</v>
      </c>
      <c r="C16" s="26">
        <f>C17+C30</f>
        <v>364674.42000000004</v>
      </c>
      <c r="D16" s="26">
        <f t="shared" ref="D16:D33" si="0">C16</f>
        <v>364674.42000000004</v>
      </c>
      <c r="E16" s="22"/>
    </row>
    <row r="17" spans="1:5">
      <c r="A17" s="27" t="s">
        <v>5</v>
      </c>
      <c r="B17" s="25">
        <v>2200</v>
      </c>
      <c r="C17" s="26">
        <f>C18+C19+C20+C21+C24+C22+C23</f>
        <v>364674.42000000004</v>
      </c>
      <c r="D17" s="26">
        <f t="shared" si="0"/>
        <v>364674.42000000004</v>
      </c>
      <c r="E17" s="22"/>
    </row>
    <row r="18" spans="1:5">
      <c r="A18" s="28" t="s">
        <v>6</v>
      </c>
      <c r="B18" s="29">
        <v>2210</v>
      </c>
      <c r="C18" s="30">
        <f>3900+3865</f>
        <v>7765</v>
      </c>
      <c r="D18" s="30">
        <f t="shared" si="0"/>
        <v>7765</v>
      </c>
      <c r="E18" s="22"/>
    </row>
    <row r="19" spans="1:5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>
      <c r="A20" s="27" t="s">
        <v>7</v>
      </c>
      <c r="B20" s="25">
        <v>2240</v>
      </c>
      <c r="C20" s="26">
        <f>350+4410+1372.8+989.48</f>
        <v>7122.2800000000007</v>
      </c>
      <c r="D20" s="30">
        <f t="shared" si="0"/>
        <v>7122.2800000000007</v>
      </c>
      <c r="E20" s="22"/>
    </row>
    <row r="21" spans="1:5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>
      <c r="A22" s="27" t="s">
        <v>19</v>
      </c>
      <c r="B22" s="25">
        <v>2240</v>
      </c>
      <c r="C22" s="26"/>
      <c r="D22" s="30">
        <f t="shared" si="0"/>
        <v>0</v>
      </c>
      <c r="E22" s="22"/>
    </row>
    <row r="23" spans="1:5">
      <c r="A23" s="27" t="s">
        <v>39</v>
      </c>
      <c r="B23" s="25">
        <v>2240</v>
      </c>
      <c r="C23" s="26">
        <f>2990.13+975</f>
        <v>3965.13</v>
      </c>
      <c r="D23" s="30">
        <f t="shared" si="0"/>
        <v>3965.13</v>
      </c>
      <c r="E23" s="22"/>
    </row>
    <row r="24" spans="1:5">
      <c r="A24" s="27" t="s">
        <v>15</v>
      </c>
      <c r="B24" s="25">
        <v>2270</v>
      </c>
      <c r="C24" s="26">
        <f>SUM(C25:C29)</f>
        <v>345822.01</v>
      </c>
      <c r="D24" s="26">
        <f t="shared" si="0"/>
        <v>345822.01</v>
      </c>
      <c r="E24" s="22"/>
    </row>
    <row r="25" spans="1:5">
      <c r="A25" s="31" t="s">
        <v>9</v>
      </c>
      <c r="B25" s="24">
        <v>2271</v>
      </c>
      <c r="C25" s="32">
        <f>252559.01</f>
        <v>252559.01</v>
      </c>
      <c r="D25" s="32">
        <f t="shared" si="0"/>
        <v>252559.01</v>
      </c>
      <c r="E25" s="22"/>
    </row>
    <row r="26" spans="1:5">
      <c r="A26" s="31" t="s">
        <v>10</v>
      </c>
      <c r="B26" s="24">
        <v>2272</v>
      </c>
      <c r="C26" s="32">
        <f>7366.99</f>
        <v>7366.99</v>
      </c>
      <c r="D26" s="32">
        <f t="shared" si="0"/>
        <v>7366.99</v>
      </c>
      <c r="E26" s="22"/>
    </row>
    <row r="27" spans="1:5">
      <c r="A27" s="31" t="s">
        <v>11</v>
      </c>
      <c r="B27" s="24">
        <v>2273</v>
      </c>
      <c r="C27" s="32">
        <f>82379.03</f>
        <v>82379.03</v>
      </c>
      <c r="D27" s="32">
        <f t="shared" si="0"/>
        <v>82379.03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3516.98</f>
        <v>3516.98</v>
      </c>
      <c r="D29" s="33">
        <f t="shared" si="0"/>
        <v>3516.98</v>
      </c>
      <c r="E29" s="22"/>
    </row>
    <row r="30" spans="1:5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  <c r="C34" s="22"/>
      <c r="D34" s="22"/>
    </row>
    <row r="35" spans="1:5" ht="15" customHeight="1">
      <c r="C35" s="22"/>
      <c r="D35" s="22"/>
    </row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6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62.25" customHeight="1">
      <c r="A5" s="13" t="s">
        <v>23</v>
      </c>
      <c r="B5" s="42" t="s">
        <v>48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1598086.59</v>
      </c>
      <c r="D15" s="26">
        <f>C15</f>
        <v>1598086.59</v>
      </c>
      <c r="E15" s="22"/>
    </row>
    <row r="16" spans="1:5" s="6" customFormat="1" ht="24">
      <c r="A16" s="24" t="s">
        <v>18</v>
      </c>
      <c r="B16" s="25">
        <v>2000</v>
      </c>
      <c r="C16" s="26">
        <f>C17+C30</f>
        <v>1598086.59</v>
      </c>
      <c r="D16" s="26">
        <f t="shared" ref="D16:D33" si="0">C16</f>
        <v>1598086.59</v>
      </c>
      <c r="E16" s="22"/>
    </row>
    <row r="17" spans="1:5" s="8" customFormat="1">
      <c r="A17" s="27" t="s">
        <v>5</v>
      </c>
      <c r="B17" s="25">
        <v>2200</v>
      </c>
      <c r="C17" s="26">
        <f>C18+C19+C20+C21+C24+C22+C23</f>
        <v>1598086.59</v>
      </c>
      <c r="D17" s="26">
        <f t="shared" si="0"/>
        <v>1598086.59</v>
      </c>
      <c r="E17" s="22"/>
    </row>
    <row r="18" spans="1:5" s="9" customFormat="1">
      <c r="A18" s="28" t="s">
        <v>6</v>
      </c>
      <c r="B18" s="29">
        <v>2210</v>
      </c>
      <c r="C18" s="30">
        <f>5460+5295</f>
        <v>10755</v>
      </c>
      <c r="D18" s="30">
        <f t="shared" si="0"/>
        <v>10755</v>
      </c>
      <c r="E18" s="22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 s="9" customFormat="1">
      <c r="A20" s="27" t="s">
        <v>7</v>
      </c>
      <c r="B20" s="25">
        <v>2240</v>
      </c>
      <c r="C20" s="26">
        <f>450+1179+4455+2087.48</f>
        <v>8171.48</v>
      </c>
      <c r="D20" s="30">
        <f t="shared" si="0"/>
        <v>8171.48</v>
      </c>
      <c r="E20" s="22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 s="9" customFormat="1">
      <c r="A22" s="27" t="s">
        <v>19</v>
      </c>
      <c r="B22" s="25">
        <v>2240</v>
      </c>
      <c r="C22" s="26"/>
      <c r="D22" s="30">
        <f t="shared" si="0"/>
        <v>0</v>
      </c>
      <c r="E22" s="22"/>
    </row>
    <row r="23" spans="1:5" s="9" customFormat="1">
      <c r="A23" s="27" t="s">
        <v>39</v>
      </c>
      <c r="B23" s="25">
        <v>2240</v>
      </c>
      <c r="C23" s="26">
        <f>14998.32+2696.75+422.5</f>
        <v>18117.57</v>
      </c>
      <c r="D23" s="30">
        <f t="shared" si="0"/>
        <v>18117.57</v>
      </c>
      <c r="E23" s="22"/>
    </row>
    <row r="24" spans="1:5" s="9" customFormat="1">
      <c r="A24" s="27" t="s">
        <v>15</v>
      </c>
      <c r="B24" s="25">
        <v>2270</v>
      </c>
      <c r="C24" s="26">
        <f>SUM(C25:C29)</f>
        <v>1561042.54</v>
      </c>
      <c r="D24" s="26">
        <f t="shared" si="0"/>
        <v>1561042.54</v>
      </c>
      <c r="E24" s="22"/>
    </row>
    <row r="25" spans="1:5">
      <c r="A25" s="31" t="s">
        <v>9</v>
      </c>
      <c r="B25" s="24">
        <v>2271</v>
      </c>
      <c r="C25" s="32">
        <f>1356919.17</f>
        <v>1356919.17</v>
      </c>
      <c r="D25" s="32">
        <f t="shared" si="0"/>
        <v>1356919.17</v>
      </c>
      <c r="E25" s="22"/>
    </row>
    <row r="26" spans="1:5">
      <c r="A26" s="31" t="s">
        <v>10</v>
      </c>
      <c r="B26" s="24">
        <v>2272</v>
      </c>
      <c r="C26" s="32">
        <f>33304.03</f>
        <v>33304.03</v>
      </c>
      <c r="D26" s="32">
        <f t="shared" si="0"/>
        <v>33304.03</v>
      </c>
      <c r="E26" s="22"/>
    </row>
    <row r="27" spans="1:5">
      <c r="A27" s="31" t="s">
        <v>11</v>
      </c>
      <c r="B27" s="24">
        <v>2273</v>
      </c>
      <c r="C27" s="32">
        <f>166880.33</f>
        <v>166880.32999999999</v>
      </c>
      <c r="D27" s="32">
        <f t="shared" si="0"/>
        <v>166880.32999999999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3939.01</f>
        <v>3939.01</v>
      </c>
      <c r="D29" s="33">
        <f t="shared" si="0"/>
        <v>3939.01</v>
      </c>
      <c r="E29" s="22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22"/>
    </row>
    <row r="34" spans="1:5" ht="18">
      <c r="A34" s="4"/>
      <c r="C34" s="14"/>
      <c r="D34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topLeftCell="A7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0" customWidth="1"/>
    <col min="2" max="2" width="10.85546875" style="10" customWidth="1"/>
    <col min="3" max="4" width="17.42578125" style="10" customWidth="1"/>
    <col min="5" max="16384" width="14.42578125" style="10"/>
  </cols>
  <sheetData>
    <row r="1" spans="1:5">
      <c r="A1" s="39" t="s">
        <v>0</v>
      </c>
      <c r="B1" s="38"/>
      <c r="C1" s="38"/>
      <c r="D1" s="38"/>
    </row>
    <row r="2" spans="1:5">
      <c r="A2" s="39" t="s">
        <v>35</v>
      </c>
      <c r="B2" s="38"/>
      <c r="C2" s="38"/>
      <c r="D2" s="38"/>
    </row>
    <row r="3" spans="1:5" s="35" customFormat="1">
      <c r="A3" s="39" t="s">
        <v>41</v>
      </c>
      <c r="B3" s="38"/>
      <c r="C3" s="38"/>
      <c r="D3" s="38"/>
    </row>
    <row r="4" spans="1:5">
      <c r="A4" s="16"/>
      <c r="B4" s="16"/>
      <c r="C4" s="17"/>
    </row>
    <row r="5" spans="1:5" ht="57" customHeight="1">
      <c r="A5" s="18" t="s">
        <v>23</v>
      </c>
      <c r="B5" s="36" t="s">
        <v>49</v>
      </c>
      <c r="C5" s="36"/>
      <c r="D5" s="36"/>
    </row>
    <row r="6" spans="1:5">
      <c r="A6" s="18" t="s">
        <v>24</v>
      </c>
      <c r="B6" s="20" t="s">
        <v>25</v>
      </c>
    </row>
    <row r="7" spans="1:5">
      <c r="A7" s="18" t="s">
        <v>26</v>
      </c>
      <c r="B7" s="20" t="s">
        <v>27</v>
      </c>
    </row>
    <row r="8" spans="1:5" ht="25.5">
      <c r="A8" s="16" t="s">
        <v>28</v>
      </c>
      <c r="B8" s="20" t="s">
        <v>29</v>
      </c>
    </row>
    <row r="9" spans="1:5" ht="38.25">
      <c r="A9" s="16" t="s">
        <v>30</v>
      </c>
      <c r="B9" s="20" t="s">
        <v>20</v>
      </c>
    </row>
    <row r="10" spans="1:5">
      <c r="A10" s="21" t="s">
        <v>21</v>
      </c>
    </row>
    <row r="11" spans="1:5">
      <c r="A11" s="21" t="s">
        <v>1</v>
      </c>
    </row>
    <row r="12" spans="1:5" ht="15.75">
      <c r="A12" s="37"/>
      <c r="B12" s="38"/>
      <c r="C12" s="38"/>
      <c r="D12" s="38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>
      <c r="A15" s="25" t="s">
        <v>3</v>
      </c>
      <c r="B15" s="25" t="s">
        <v>4</v>
      </c>
      <c r="C15" s="26">
        <f>C16+C32</f>
        <v>509307.86000000004</v>
      </c>
      <c r="D15" s="26">
        <f>C15</f>
        <v>509307.86000000004</v>
      </c>
      <c r="E15" s="22"/>
    </row>
    <row r="16" spans="1:5" ht="24">
      <c r="A16" s="24" t="s">
        <v>18</v>
      </c>
      <c r="B16" s="25">
        <v>2000</v>
      </c>
      <c r="C16" s="26">
        <f>C17+C30</f>
        <v>509307.86000000004</v>
      </c>
      <c r="D16" s="26">
        <f t="shared" ref="D16:D33" si="0">C16</f>
        <v>509307.86000000004</v>
      </c>
      <c r="E16" s="22"/>
    </row>
    <row r="17" spans="1:5">
      <c r="A17" s="27" t="s">
        <v>5</v>
      </c>
      <c r="B17" s="25">
        <v>2200</v>
      </c>
      <c r="C17" s="26">
        <f>C18+C19+C20+C21+C24+C22+C23</f>
        <v>509307.86000000004</v>
      </c>
      <c r="D17" s="26">
        <f t="shared" si="0"/>
        <v>509307.86000000004</v>
      </c>
      <c r="E17" s="22"/>
    </row>
    <row r="18" spans="1:5">
      <c r="A18" s="28" t="s">
        <v>6</v>
      </c>
      <c r="B18" s="29">
        <v>2210</v>
      </c>
      <c r="C18" s="30">
        <f>3900+4765</f>
        <v>8665</v>
      </c>
      <c r="D18" s="30">
        <f t="shared" si="0"/>
        <v>8665</v>
      </c>
      <c r="E18" s="22"/>
    </row>
    <row r="19" spans="1:5">
      <c r="A19" s="28" t="s">
        <v>36</v>
      </c>
      <c r="B19" s="29">
        <v>2210</v>
      </c>
      <c r="C19" s="30"/>
      <c r="D19" s="30">
        <f t="shared" si="0"/>
        <v>0</v>
      </c>
      <c r="E19" s="22"/>
    </row>
    <row r="20" spans="1:5">
      <c r="A20" s="27" t="s">
        <v>7</v>
      </c>
      <c r="B20" s="25">
        <v>2240</v>
      </c>
      <c r="C20" s="26">
        <f>450+3132+686.4+2015.48</f>
        <v>6283.8799999999992</v>
      </c>
      <c r="D20" s="30">
        <f t="shared" si="0"/>
        <v>6283.8799999999992</v>
      </c>
      <c r="E20" s="22"/>
    </row>
    <row r="21" spans="1:5">
      <c r="A21" s="27" t="s">
        <v>37</v>
      </c>
      <c r="B21" s="25">
        <v>2240</v>
      </c>
      <c r="C21" s="26"/>
      <c r="D21" s="30">
        <f t="shared" si="0"/>
        <v>0</v>
      </c>
      <c r="E21" s="22"/>
    </row>
    <row r="22" spans="1:5">
      <c r="A22" s="27" t="s">
        <v>19</v>
      </c>
      <c r="B22" s="25">
        <v>2240</v>
      </c>
      <c r="C22" s="26">
        <f>23500</f>
        <v>23500</v>
      </c>
      <c r="D22" s="30">
        <f t="shared" si="0"/>
        <v>23500</v>
      </c>
      <c r="E22" s="22"/>
    </row>
    <row r="23" spans="1:5">
      <c r="A23" s="27" t="s">
        <v>39</v>
      </c>
      <c r="B23" s="25">
        <v>2240</v>
      </c>
      <c r="C23" s="26">
        <f>4319.39+812.5</f>
        <v>5131.8900000000003</v>
      </c>
      <c r="D23" s="30">
        <f t="shared" si="0"/>
        <v>5131.8900000000003</v>
      </c>
      <c r="E23" s="22"/>
    </row>
    <row r="24" spans="1:5">
      <c r="A24" s="27" t="s">
        <v>15</v>
      </c>
      <c r="B24" s="25">
        <v>2270</v>
      </c>
      <c r="C24" s="26">
        <f>SUM(C25:C29)</f>
        <v>465727.09</v>
      </c>
      <c r="D24" s="26">
        <f t="shared" si="0"/>
        <v>465727.09</v>
      </c>
      <c r="E24" s="22"/>
    </row>
    <row r="25" spans="1:5">
      <c r="A25" s="31" t="s">
        <v>9</v>
      </c>
      <c r="B25" s="24">
        <v>2271</v>
      </c>
      <c r="C25" s="32">
        <f>241830.55</f>
        <v>241830.55</v>
      </c>
      <c r="D25" s="32">
        <f t="shared" si="0"/>
        <v>241830.55</v>
      </c>
      <c r="E25" s="22"/>
    </row>
    <row r="26" spans="1:5">
      <c r="A26" s="31" t="s">
        <v>10</v>
      </c>
      <c r="B26" s="24">
        <v>2272</v>
      </c>
      <c r="C26" s="32">
        <f>25499.14</f>
        <v>25499.14</v>
      </c>
      <c r="D26" s="32">
        <f t="shared" si="0"/>
        <v>25499.14</v>
      </c>
      <c r="E26" s="22"/>
    </row>
    <row r="27" spans="1:5">
      <c r="A27" s="31" t="s">
        <v>11</v>
      </c>
      <c r="B27" s="24">
        <v>2273</v>
      </c>
      <c r="C27" s="32">
        <f>195021.1</f>
        <v>195021.1</v>
      </c>
      <c r="D27" s="32">
        <f t="shared" si="0"/>
        <v>195021.1</v>
      </c>
      <c r="E27" s="22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22"/>
    </row>
    <row r="29" spans="1:5">
      <c r="A29" s="31" t="s">
        <v>8</v>
      </c>
      <c r="B29" s="24">
        <v>2275</v>
      </c>
      <c r="C29" s="33">
        <f>3376.3</f>
        <v>3376.3</v>
      </c>
      <c r="D29" s="33">
        <f t="shared" si="0"/>
        <v>3376.3</v>
      </c>
      <c r="E29" s="22"/>
    </row>
    <row r="30" spans="1:5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22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22"/>
    </row>
    <row r="32" spans="1:5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22"/>
    </row>
    <row r="33" spans="1:5" ht="24">
      <c r="A33" s="31" t="s">
        <v>38</v>
      </c>
      <c r="B33" s="24">
        <v>3110</v>
      </c>
      <c r="C33" s="32"/>
      <c r="D33" s="32">
        <f t="shared" si="0"/>
        <v>0</v>
      </c>
      <c r="E33" s="22"/>
    </row>
    <row r="34" spans="1:5" ht="18">
      <c r="A34" s="23"/>
      <c r="C34" s="22"/>
      <c r="D34" s="22"/>
    </row>
    <row r="35" spans="1:5" ht="15" customHeight="1">
      <c r="C35" s="22"/>
      <c r="D35" s="22"/>
    </row>
    <row r="36" spans="1:5" ht="15" customHeight="1">
      <c r="C36" s="22"/>
      <c r="D36" s="22"/>
    </row>
  </sheetData>
  <mergeCells count="5">
    <mergeCell ref="A1:D1"/>
    <mergeCell ref="A2:D2"/>
    <mergeCell ref="B5:D5"/>
    <mergeCell ref="A12:D12"/>
    <mergeCell ref="A3:D3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3"/>
  <sheetViews>
    <sheetView view="pageBreakPreview" zoomScaleNormal="70" zoomScaleSheetLayoutView="100" workbookViewId="0">
      <selection activeCell="C18" sqref="C18:C24"/>
    </sheetView>
  </sheetViews>
  <sheetFormatPr defaultColWidth="14.42578125" defaultRowHeight="15" customHeight="1"/>
  <cols>
    <col min="1" max="1" width="57.85546875" style="11" customWidth="1"/>
    <col min="2" max="2" width="10.85546875" style="11" customWidth="1"/>
    <col min="3" max="4" width="17.42578125" style="11" customWidth="1"/>
    <col min="5" max="16384" width="14.42578125" style="11"/>
  </cols>
  <sheetData>
    <row r="1" spans="1:5">
      <c r="A1" s="40" t="s">
        <v>0</v>
      </c>
      <c r="B1" s="41"/>
      <c r="C1" s="41"/>
      <c r="D1" s="41"/>
    </row>
    <row r="2" spans="1:5">
      <c r="A2" s="39" t="s">
        <v>35</v>
      </c>
      <c r="B2" s="38"/>
      <c r="C2" s="38"/>
      <c r="D2" s="38"/>
    </row>
    <row r="3" spans="1:5">
      <c r="A3" s="39" t="s">
        <v>41</v>
      </c>
      <c r="B3" s="38"/>
      <c r="C3" s="38"/>
      <c r="D3" s="38"/>
    </row>
    <row r="4" spans="1:5">
      <c r="A4" s="1"/>
      <c r="B4" s="1"/>
      <c r="C4" s="2"/>
    </row>
    <row r="5" spans="1:5" ht="46.5" customHeight="1">
      <c r="A5" s="13" t="s">
        <v>23</v>
      </c>
      <c r="B5" s="42" t="s">
        <v>50</v>
      </c>
      <c r="C5" s="42"/>
      <c r="D5" s="42"/>
    </row>
    <row r="6" spans="1:5">
      <c r="A6" s="13" t="s">
        <v>24</v>
      </c>
      <c r="B6" s="12" t="s">
        <v>25</v>
      </c>
    </row>
    <row r="7" spans="1:5">
      <c r="A7" s="13" t="s">
        <v>26</v>
      </c>
      <c r="B7" s="12" t="s">
        <v>27</v>
      </c>
    </row>
    <row r="8" spans="1:5" ht="25.5">
      <c r="A8" s="1" t="s">
        <v>28</v>
      </c>
      <c r="B8" s="12" t="s">
        <v>29</v>
      </c>
    </row>
    <row r="9" spans="1:5" ht="38.25">
      <c r="A9" s="1" t="s">
        <v>30</v>
      </c>
      <c r="B9" s="12" t="s">
        <v>20</v>
      </c>
    </row>
    <row r="10" spans="1:5">
      <c r="A10" s="3" t="s">
        <v>21</v>
      </c>
    </row>
    <row r="11" spans="1:5">
      <c r="A11" s="3" t="s">
        <v>1</v>
      </c>
    </row>
    <row r="12" spans="1:5" ht="15.75">
      <c r="A12" s="43"/>
      <c r="B12" s="41"/>
      <c r="C12" s="41"/>
      <c r="D12" s="41"/>
    </row>
    <row r="13" spans="1:5" ht="36">
      <c r="A13" s="24" t="s">
        <v>2</v>
      </c>
      <c r="B13" s="24" t="s">
        <v>22</v>
      </c>
      <c r="C13" s="24" t="s">
        <v>33</v>
      </c>
      <c r="D13" s="24" t="s">
        <v>34</v>
      </c>
    </row>
    <row r="14" spans="1:5">
      <c r="A14" s="25">
        <v>1</v>
      </c>
      <c r="B14" s="25">
        <v>2</v>
      </c>
      <c r="C14" s="25">
        <v>3</v>
      </c>
      <c r="D14" s="25">
        <v>4</v>
      </c>
    </row>
    <row r="15" spans="1:5" s="7" customFormat="1">
      <c r="A15" s="25" t="s">
        <v>3</v>
      </c>
      <c r="B15" s="25" t="s">
        <v>4</v>
      </c>
      <c r="C15" s="26">
        <f>C16+C32</f>
        <v>481776.98</v>
      </c>
      <c r="D15" s="26">
        <f>C15</f>
        <v>481776.98</v>
      </c>
      <c r="E15" s="15"/>
    </row>
    <row r="16" spans="1:5" s="6" customFormat="1" ht="24">
      <c r="A16" s="24" t="s">
        <v>18</v>
      </c>
      <c r="B16" s="25">
        <v>2000</v>
      </c>
      <c r="C16" s="26">
        <f>C17+C30</f>
        <v>481776.98</v>
      </c>
      <c r="D16" s="26">
        <f t="shared" ref="D16:D33" si="0">C16</f>
        <v>481776.98</v>
      </c>
      <c r="E16" s="15"/>
    </row>
    <row r="17" spans="1:5" s="8" customFormat="1">
      <c r="A17" s="27" t="s">
        <v>5</v>
      </c>
      <c r="B17" s="25">
        <v>2200</v>
      </c>
      <c r="C17" s="26">
        <f>C18+C19+C20+C21+C24+C22+C23</f>
        <v>481776.98</v>
      </c>
      <c r="D17" s="26">
        <f t="shared" si="0"/>
        <v>481776.98</v>
      </c>
      <c r="E17" s="15"/>
    </row>
    <row r="18" spans="1:5" s="9" customFormat="1">
      <c r="A18" s="28" t="s">
        <v>6</v>
      </c>
      <c r="B18" s="29">
        <v>2210</v>
      </c>
      <c r="C18" s="30">
        <f>3900+4085</f>
        <v>7985</v>
      </c>
      <c r="D18" s="30">
        <f t="shared" si="0"/>
        <v>7985</v>
      </c>
      <c r="E18" s="15"/>
    </row>
    <row r="19" spans="1:5" s="9" customFormat="1">
      <c r="A19" s="28" t="s">
        <v>36</v>
      </c>
      <c r="B19" s="29">
        <v>2210</v>
      </c>
      <c r="C19" s="30"/>
      <c r="D19" s="30">
        <f t="shared" si="0"/>
        <v>0</v>
      </c>
      <c r="E19" s="15"/>
    </row>
    <row r="20" spans="1:5" s="9" customFormat="1">
      <c r="A20" s="27" t="s">
        <v>7</v>
      </c>
      <c r="B20" s="25">
        <v>2240</v>
      </c>
      <c r="C20" s="26">
        <f>450+4410+686.4+1547.48</f>
        <v>7093.8799999999992</v>
      </c>
      <c r="D20" s="30">
        <f t="shared" si="0"/>
        <v>7093.8799999999992</v>
      </c>
      <c r="E20" s="15"/>
    </row>
    <row r="21" spans="1:5" s="9" customFormat="1">
      <c r="A21" s="27" t="s">
        <v>37</v>
      </c>
      <c r="B21" s="25">
        <v>2240</v>
      </c>
      <c r="C21" s="26"/>
      <c r="D21" s="30">
        <f t="shared" si="0"/>
        <v>0</v>
      </c>
      <c r="E21" s="15"/>
    </row>
    <row r="22" spans="1:5" s="9" customFormat="1">
      <c r="A22" s="27" t="s">
        <v>19</v>
      </c>
      <c r="B22" s="25">
        <v>2240</v>
      </c>
      <c r="C22" s="26">
        <f>49999</f>
        <v>49999</v>
      </c>
      <c r="D22" s="30">
        <f t="shared" si="0"/>
        <v>49999</v>
      </c>
      <c r="E22" s="15"/>
    </row>
    <row r="23" spans="1:5" s="9" customFormat="1">
      <c r="A23" s="27" t="s">
        <v>39</v>
      </c>
      <c r="B23" s="25">
        <v>2240</v>
      </c>
      <c r="C23" s="26">
        <f>3447.25+585</f>
        <v>4032.25</v>
      </c>
      <c r="D23" s="30">
        <f t="shared" si="0"/>
        <v>4032.25</v>
      </c>
      <c r="E23" s="15"/>
    </row>
    <row r="24" spans="1:5" s="9" customFormat="1">
      <c r="A24" s="27" t="s">
        <v>15</v>
      </c>
      <c r="B24" s="25">
        <v>2270</v>
      </c>
      <c r="C24" s="26">
        <f>SUM(C25:C29)</f>
        <v>412666.85</v>
      </c>
      <c r="D24" s="30">
        <f t="shared" si="0"/>
        <v>412666.85</v>
      </c>
      <c r="E24" s="15"/>
    </row>
    <row r="25" spans="1:5">
      <c r="A25" s="31" t="s">
        <v>9</v>
      </c>
      <c r="B25" s="24">
        <v>2271</v>
      </c>
      <c r="C25" s="32">
        <f>253941.03</f>
        <v>253941.03</v>
      </c>
      <c r="D25" s="32">
        <f t="shared" si="0"/>
        <v>253941.03</v>
      </c>
      <c r="E25" s="15"/>
    </row>
    <row r="26" spans="1:5">
      <c r="A26" s="31" t="s">
        <v>10</v>
      </c>
      <c r="B26" s="24">
        <v>2272</v>
      </c>
      <c r="C26" s="32">
        <f>11443.73</f>
        <v>11443.73</v>
      </c>
      <c r="D26" s="32">
        <f t="shared" si="0"/>
        <v>11443.73</v>
      </c>
      <c r="E26" s="15"/>
    </row>
    <row r="27" spans="1:5">
      <c r="A27" s="31" t="s">
        <v>11</v>
      </c>
      <c r="B27" s="24">
        <v>2273</v>
      </c>
      <c r="C27" s="32">
        <f>143343.08</f>
        <v>143343.07999999999</v>
      </c>
      <c r="D27" s="32">
        <f t="shared" si="0"/>
        <v>143343.07999999999</v>
      </c>
      <c r="E27" s="15"/>
    </row>
    <row r="28" spans="1:5" hidden="1">
      <c r="A28" s="31" t="s">
        <v>12</v>
      </c>
      <c r="B28" s="24">
        <v>2274</v>
      </c>
      <c r="C28" s="32">
        <v>0</v>
      </c>
      <c r="D28" s="32">
        <f t="shared" si="0"/>
        <v>0</v>
      </c>
      <c r="E28" s="15"/>
    </row>
    <row r="29" spans="1:5">
      <c r="A29" s="31" t="s">
        <v>8</v>
      </c>
      <c r="B29" s="24">
        <v>2275</v>
      </c>
      <c r="C29" s="33">
        <f>3939.01</f>
        <v>3939.01</v>
      </c>
      <c r="D29" s="33">
        <f t="shared" si="0"/>
        <v>3939.01</v>
      </c>
      <c r="E29" s="15"/>
    </row>
    <row r="30" spans="1:5" s="8" customFormat="1">
      <c r="A30" s="27" t="s">
        <v>13</v>
      </c>
      <c r="B30" s="25">
        <v>2700</v>
      </c>
      <c r="C30" s="32">
        <f>C31</f>
        <v>0</v>
      </c>
      <c r="D30" s="32">
        <f t="shared" si="0"/>
        <v>0</v>
      </c>
      <c r="E30" s="15"/>
    </row>
    <row r="31" spans="1:5">
      <c r="A31" s="31" t="s">
        <v>32</v>
      </c>
      <c r="B31" s="24">
        <v>2730</v>
      </c>
      <c r="C31" s="32"/>
      <c r="D31" s="32">
        <f t="shared" si="0"/>
        <v>0</v>
      </c>
      <c r="E31" s="15"/>
    </row>
    <row r="32" spans="1:5" s="6" customFormat="1">
      <c r="A32" s="25" t="s">
        <v>14</v>
      </c>
      <c r="B32" s="25">
        <v>3000</v>
      </c>
      <c r="C32" s="32">
        <f>C33</f>
        <v>0</v>
      </c>
      <c r="D32" s="32">
        <f t="shared" si="0"/>
        <v>0</v>
      </c>
      <c r="E32" s="15"/>
    </row>
    <row r="33" spans="1:5">
      <c r="A33" s="31" t="s">
        <v>16</v>
      </c>
      <c r="B33" s="24">
        <v>3110</v>
      </c>
      <c r="C33" s="32"/>
      <c r="D33" s="32">
        <f t="shared" si="0"/>
        <v>0</v>
      </c>
      <c r="E33" s="15"/>
    </row>
    <row r="34" spans="1:5" ht="18">
      <c r="A34" s="4"/>
      <c r="C34" s="14"/>
      <c r="D34" s="14"/>
    </row>
    <row r="35" spans="1:5" ht="15" customHeight="1">
      <c r="C35" s="14"/>
      <c r="D35" s="14"/>
    </row>
    <row r="36" spans="1:5" ht="15" customHeight="1">
      <c r="C36" s="14"/>
      <c r="D36" s="14"/>
    </row>
    <row r="37" spans="1:5" ht="15" customHeight="1">
      <c r="C37" s="14"/>
      <c r="D37" s="14"/>
    </row>
    <row r="41" spans="1:5" s="5" customFormat="1"/>
    <row r="42" spans="1:5" s="5" customFormat="1"/>
    <row r="43" spans="1:5" s="5" customFormat="1"/>
    <row r="79" s="5" customFormat="1"/>
    <row r="80" s="5" customFormat="1"/>
    <row r="81" s="5" customFormat="1"/>
    <row r="117" s="5" customFormat="1"/>
    <row r="118" s="5" customFormat="1"/>
    <row r="119" s="5" customFormat="1"/>
    <row r="155" s="5" customFormat="1"/>
    <row r="156" s="5" customFormat="1"/>
    <row r="157" s="5" customFormat="1"/>
    <row r="193" s="5" customFormat="1"/>
    <row r="194" s="5" customFormat="1"/>
    <row r="195" s="5" customFormat="1"/>
    <row r="231" s="5" customFormat="1"/>
    <row r="232" s="5" customFormat="1"/>
    <row r="233" s="5" customFormat="1"/>
    <row r="269" s="5" customFormat="1"/>
    <row r="270" s="5" customFormat="1"/>
    <row r="271" s="5" customFormat="1"/>
    <row r="307" s="5" customFormat="1"/>
    <row r="308" s="5" customFormat="1"/>
    <row r="309" s="5" customFormat="1"/>
    <row r="345" s="5" customFormat="1"/>
    <row r="346" s="5" customFormat="1"/>
    <row r="347" s="5" customFormat="1"/>
    <row r="383" s="5" customFormat="1"/>
    <row r="384" s="5" customFormat="1"/>
    <row r="385" s="5" customFormat="1"/>
    <row r="421" s="5" customFormat="1"/>
    <row r="422" s="5" customFormat="1"/>
    <row r="423" s="5" customFormat="1"/>
  </sheetData>
  <mergeCells count="5">
    <mergeCell ref="A1:D1"/>
    <mergeCell ref="A2:D2"/>
    <mergeCell ref="A3:D3"/>
    <mergeCell ref="B5:D5"/>
    <mergeCell ref="A12:D12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14</vt:lpstr>
      <vt:lpstr>39</vt:lpstr>
      <vt:lpstr>43</vt:lpstr>
      <vt:lpstr>89</vt:lpstr>
      <vt:lpstr>100</vt:lpstr>
      <vt:lpstr>131</vt:lpstr>
      <vt:lpstr>133 </vt:lpstr>
      <vt:lpstr>135</vt:lpstr>
      <vt:lpstr>143</vt:lpstr>
      <vt:lpstr>159</vt:lpstr>
      <vt:lpstr>Надія</vt:lpstr>
      <vt:lpstr>196</vt:lpstr>
      <vt:lpstr>210</vt:lpstr>
      <vt:lpstr>217</vt:lpstr>
      <vt:lpstr>226</vt:lpstr>
      <vt:lpstr>244</vt:lpstr>
      <vt:lpstr>270</vt:lpstr>
      <vt:lpstr>280</vt:lpstr>
      <vt:lpstr>284</vt:lpstr>
      <vt:lpstr>'100'!Область_печати</vt:lpstr>
      <vt:lpstr>'131'!Область_печати</vt:lpstr>
      <vt:lpstr>'133 '!Область_печати</vt:lpstr>
      <vt:lpstr>'135'!Область_печати</vt:lpstr>
      <vt:lpstr>'14'!Область_печати</vt:lpstr>
      <vt:lpstr>'143'!Область_печати</vt:lpstr>
      <vt:lpstr>'159'!Область_печати</vt:lpstr>
      <vt:lpstr>'196'!Область_печати</vt:lpstr>
      <vt:lpstr>'210'!Область_печати</vt:lpstr>
      <vt:lpstr>'217'!Область_печати</vt:lpstr>
      <vt:lpstr>'226'!Область_печати</vt:lpstr>
      <vt:lpstr>'244'!Область_печати</vt:lpstr>
      <vt:lpstr>'270'!Область_печати</vt:lpstr>
      <vt:lpstr>'280'!Область_печати</vt:lpstr>
      <vt:lpstr>'284'!Область_печати</vt:lpstr>
      <vt:lpstr>'39'!Область_печати</vt:lpstr>
      <vt:lpstr>'43'!Область_печати</vt:lpstr>
      <vt:lpstr>'89'!Область_печати</vt:lpstr>
      <vt:lpstr>Надія!Область_печати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2022-09-16T12:21:15Z</cp:lastPrinted>
  <dcterms:created xsi:type="dcterms:W3CDTF">2018-06-18T10:20:14Z</dcterms:created>
  <dcterms:modified xsi:type="dcterms:W3CDTF">2022-10-17T12:23:57Z</dcterms:modified>
</cp:coreProperties>
</file>