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630" tabRatio="786"/>
  </bookViews>
  <sheets>
    <sheet name="4" sheetId="1" r:id="rId1"/>
    <sheet name="12" sheetId="2" r:id="rId2"/>
    <sheet name="18" sheetId="3" r:id="rId3"/>
    <sheet name="19" sheetId="26" r:id="rId4"/>
    <sheet name="34" sheetId="4" r:id="rId5"/>
    <sheet name="42" sheetId="5" r:id="rId6"/>
    <sheet name="52" sheetId="6" r:id="rId7"/>
    <sheet name="53" sheetId="7" r:id="rId8"/>
    <sheet name="55" sheetId="9" r:id="rId9"/>
    <sheet name="60" sheetId="8" r:id="rId10"/>
    <sheet name="63" sheetId="11" r:id="rId11"/>
    <sheet name="64" sheetId="12" r:id="rId12"/>
    <sheet name="65" sheetId="10" r:id="rId13"/>
    <sheet name="77" sheetId="13" r:id="rId14"/>
    <sheet name="93" sheetId="14" r:id="rId15"/>
    <sheet name="95" sheetId="15" r:id="rId16"/>
    <sheet name="101" sheetId="16" r:id="rId17"/>
    <sheet name="111" sheetId="17" r:id="rId18"/>
    <sheet name="Вибір" sheetId="18" r:id="rId19"/>
    <sheet name="Мрія" sheetId="28" r:id="rId20"/>
    <sheet name="Перспектива" sheetId="29" r:id="rId21"/>
    <sheet name="Прогрес" sheetId="30" r:id="rId22"/>
    <sheet name="Світанок" sheetId="27" r:id="rId23"/>
    <sheet name="Натхнення" sheetId="34" r:id="rId24"/>
  </sheets>
  <definedNames>
    <definedName name="_xlnm.Print_Area" localSheetId="16">'101'!$A$1:$D$35</definedName>
    <definedName name="_xlnm.Print_Area" localSheetId="17">'111'!$A$1:$D$35</definedName>
    <definedName name="_xlnm.Print_Area" localSheetId="1">'12'!$A$1:$D$35</definedName>
    <definedName name="_xlnm.Print_Area" localSheetId="2">'18'!$A$1:$D$35</definedName>
    <definedName name="_xlnm.Print_Area" localSheetId="3">'19'!$A$1:$D$35</definedName>
    <definedName name="_xlnm.Print_Area" localSheetId="4">'34'!$A$1:$D$35</definedName>
    <definedName name="_xlnm.Print_Area" localSheetId="0">'4'!$A$1:$D$35</definedName>
    <definedName name="_xlnm.Print_Area" localSheetId="5">'42'!$A$1:$D$35</definedName>
    <definedName name="_xlnm.Print_Area" localSheetId="6">'52'!$A$1:$D$35</definedName>
    <definedName name="_xlnm.Print_Area" localSheetId="7">'53'!$A$1:$D$35</definedName>
    <definedName name="_xlnm.Print_Area" localSheetId="8">'55'!$A$1:$D$35</definedName>
    <definedName name="_xlnm.Print_Area" localSheetId="9">'60'!$A$1:$D$35</definedName>
    <definedName name="_xlnm.Print_Area" localSheetId="10">'63'!$A$1:$D$35</definedName>
    <definedName name="_xlnm.Print_Area" localSheetId="11">'64'!$A$1:$D$35</definedName>
    <definedName name="_xlnm.Print_Area" localSheetId="12">'65'!$A$1:$D$35</definedName>
    <definedName name="_xlnm.Print_Area" localSheetId="13">'77'!$A$1:$D$35</definedName>
    <definedName name="_xlnm.Print_Area" localSheetId="14">'93'!$A$1:$D$35</definedName>
    <definedName name="_xlnm.Print_Area" localSheetId="15">'95'!$A$1:$D$35</definedName>
    <definedName name="_xlnm.Print_Area" localSheetId="18">Вибір!$A$1:$D$35</definedName>
    <definedName name="_xlnm.Print_Area" localSheetId="19">Мрія!$A$1:$D$35</definedName>
    <definedName name="_xlnm.Print_Area" localSheetId="23">Натхнення!$A$1:$D$35</definedName>
    <definedName name="_xlnm.Print_Area" localSheetId="20">Перспектива!$A$1:$D$35</definedName>
    <definedName name="_xlnm.Print_Area" localSheetId="21">Прогрес!$A$1:$D$35</definedName>
    <definedName name="_xlnm.Print_Area" localSheetId="22">Світанок!$A$1:$D$35</definedName>
  </definedNames>
  <calcPr calcId="125725" refMode="R1C1"/>
</workbook>
</file>

<file path=xl/calcChain.xml><?xml version="1.0" encoding="utf-8"?>
<calcChain xmlns="http://schemas.openxmlformats.org/spreadsheetml/2006/main">
  <c r="C21" i="4"/>
  <c r="C21" i="34"/>
  <c r="C23" i="4"/>
  <c r="C23" i="34"/>
  <c r="D23" s="1"/>
  <c r="C30" i="4"/>
  <c r="C28"/>
  <c r="C27"/>
  <c r="C26"/>
  <c r="D35" i="34"/>
  <c r="D34"/>
  <c r="C33"/>
  <c r="D33" s="1"/>
  <c r="D32"/>
  <c r="D31"/>
  <c r="C31"/>
  <c r="D30"/>
  <c r="D29"/>
  <c r="D28"/>
  <c r="D27"/>
  <c r="D26"/>
  <c r="C25"/>
  <c r="D25" s="1"/>
  <c r="D24"/>
  <c r="D22"/>
  <c r="D20"/>
  <c r="D19"/>
  <c r="D18"/>
  <c r="C31" i="29"/>
  <c r="C21"/>
  <c r="C21" i="26"/>
  <c r="C22" i="17"/>
  <c r="C22" i="16"/>
  <c r="D21" i="34" l="1"/>
  <c r="C17"/>
  <c r="C16" s="1"/>
  <c r="C32" i="29"/>
  <c r="C32" i="16"/>
  <c r="C32" i="14"/>
  <c r="C32" i="26"/>
  <c r="C19" i="27"/>
  <c r="D17" i="34" l="1"/>
  <c r="D16"/>
  <c r="C15"/>
  <c r="D15" l="1"/>
  <c r="C19" i="12"/>
  <c r="C22" i="18"/>
  <c r="C22" i="11"/>
  <c r="C19" i="5"/>
  <c r="C19" i="2"/>
  <c r="C22" i="13"/>
  <c r="C19" i="26"/>
  <c r="C19" i="1"/>
  <c r="C19" i="17"/>
  <c r="C19" i="4"/>
  <c r="C19" i="15"/>
  <c r="C19" i="28"/>
  <c r="C19" i="18"/>
  <c r="C19" i="30"/>
  <c r="C19" i="13"/>
  <c r="C19" i="6"/>
  <c r="C22" i="2"/>
  <c r="C22" i="30"/>
  <c r="C22" i="1"/>
  <c r="C19" i="14"/>
  <c r="C22" i="10"/>
  <c r="C22" i="28"/>
  <c r="C22" i="15"/>
  <c r="C19" i="16"/>
  <c r="C22" i="5"/>
  <c r="C22" i="14"/>
  <c r="C19" i="8"/>
  <c r="C19" i="29"/>
  <c r="C22" i="8"/>
  <c r="C24" i="27"/>
  <c r="C24" i="30"/>
  <c r="C24" i="29"/>
  <c r="C24" i="28"/>
  <c r="C24" i="18"/>
  <c r="C24" i="17"/>
  <c r="C24" i="16"/>
  <c r="C24" i="15"/>
  <c r="C24" i="14"/>
  <c r="C24" i="13"/>
  <c r="C24" i="10"/>
  <c r="C24" i="12"/>
  <c r="C24" i="11"/>
  <c r="C24" i="8"/>
  <c r="C24" i="9"/>
  <c r="C24" i="7"/>
  <c r="C24" i="6"/>
  <c r="C24" i="5"/>
  <c r="C24" i="4"/>
  <c r="C24" i="26"/>
  <c r="C24" i="3"/>
  <c r="C24" i="2"/>
  <c r="C24" i="1"/>
  <c r="C23" i="10" l="1"/>
  <c r="C23" i="12"/>
  <c r="C23" i="15"/>
  <c r="C23" i="28"/>
  <c r="C23" i="17"/>
  <c r="C23" i="27"/>
  <c r="C23" i="5"/>
  <c r="C23" i="16"/>
  <c r="C23" i="8"/>
  <c r="C23" i="9"/>
  <c r="C23" i="6"/>
  <c r="C23" i="26"/>
  <c r="C23" i="2"/>
  <c r="C23" i="3"/>
  <c r="D18" i="27" l="1"/>
  <c r="D19"/>
  <c r="D20"/>
  <c r="D21"/>
  <c r="D22"/>
  <c r="D23"/>
  <c r="D24"/>
  <c r="D26"/>
  <c r="D27"/>
  <c r="D28"/>
  <c r="D29"/>
  <c r="D30"/>
  <c r="D31"/>
  <c r="D32"/>
  <c r="D33"/>
  <c r="D34"/>
  <c r="D35"/>
  <c r="C33"/>
  <c r="C31"/>
  <c r="D18" i="30"/>
  <c r="D19"/>
  <c r="D20"/>
  <c r="D21"/>
  <c r="D22"/>
  <c r="D23"/>
  <c r="D24"/>
  <c r="D26"/>
  <c r="D27"/>
  <c r="D28"/>
  <c r="D29"/>
  <c r="D30"/>
  <c r="D31"/>
  <c r="D32"/>
  <c r="D33"/>
  <c r="D34"/>
  <c r="D35"/>
  <c r="C33"/>
  <c r="C31"/>
  <c r="D18" i="29"/>
  <c r="D19"/>
  <c r="D20"/>
  <c r="D21"/>
  <c r="D22"/>
  <c r="D23"/>
  <c r="D24"/>
  <c r="D26"/>
  <c r="D27"/>
  <c r="D28"/>
  <c r="D29"/>
  <c r="D30"/>
  <c r="D32"/>
  <c r="D33"/>
  <c r="D34"/>
  <c r="D35"/>
  <c r="C33"/>
  <c r="D18" i="28"/>
  <c r="D19"/>
  <c r="D20"/>
  <c r="D21"/>
  <c r="D22"/>
  <c r="D23"/>
  <c r="D24"/>
  <c r="D26"/>
  <c r="D27"/>
  <c r="D28"/>
  <c r="D29"/>
  <c r="D30"/>
  <c r="D31"/>
  <c r="D32"/>
  <c r="D33"/>
  <c r="D34"/>
  <c r="D35"/>
  <c r="C33"/>
  <c r="C31"/>
  <c r="D35" i="18"/>
  <c r="D18"/>
  <c r="D19"/>
  <c r="D20"/>
  <c r="D21"/>
  <c r="D22"/>
  <c r="D23"/>
  <c r="D24"/>
  <c r="D26"/>
  <c r="D27"/>
  <c r="D28"/>
  <c r="D29"/>
  <c r="D30"/>
  <c r="D31"/>
  <c r="D32"/>
  <c r="D33"/>
  <c r="D34"/>
  <c r="C33"/>
  <c r="C31"/>
  <c r="D18" i="17"/>
  <c r="D19"/>
  <c r="D20"/>
  <c r="D21"/>
  <c r="D22"/>
  <c r="D23"/>
  <c r="D24"/>
  <c r="D26"/>
  <c r="D27"/>
  <c r="D28"/>
  <c r="D29"/>
  <c r="D30"/>
  <c r="D31"/>
  <c r="D32"/>
  <c r="D33"/>
  <c r="D34"/>
  <c r="D35"/>
  <c r="C33"/>
  <c r="C31"/>
  <c r="D18" i="16"/>
  <c r="D19"/>
  <c r="D20"/>
  <c r="D21"/>
  <c r="D22"/>
  <c r="D23"/>
  <c r="D24"/>
  <c r="D26"/>
  <c r="D27"/>
  <c r="D28"/>
  <c r="D29"/>
  <c r="D30"/>
  <c r="D32"/>
  <c r="D33"/>
  <c r="D34"/>
  <c r="D35"/>
  <c r="C33"/>
  <c r="C31"/>
  <c r="D31" s="1"/>
  <c r="D18" i="15"/>
  <c r="D19"/>
  <c r="D20"/>
  <c r="D21"/>
  <c r="D22"/>
  <c r="D23"/>
  <c r="D24"/>
  <c r="D26"/>
  <c r="D27"/>
  <c r="D28"/>
  <c r="D29"/>
  <c r="D30"/>
  <c r="D31"/>
  <c r="D32"/>
  <c r="D34"/>
  <c r="D35"/>
  <c r="C33"/>
  <c r="D33" s="1"/>
  <c r="C31"/>
  <c r="D18" i="14"/>
  <c r="D19"/>
  <c r="D20"/>
  <c r="D21"/>
  <c r="D22"/>
  <c r="D23"/>
  <c r="D24"/>
  <c r="D26"/>
  <c r="D27"/>
  <c r="D28"/>
  <c r="D29"/>
  <c r="D30"/>
  <c r="D31"/>
  <c r="D32"/>
  <c r="D34"/>
  <c r="D35"/>
  <c r="C33"/>
  <c r="C31"/>
  <c r="D18" i="13"/>
  <c r="D19"/>
  <c r="D20"/>
  <c r="D21"/>
  <c r="D22"/>
  <c r="D23"/>
  <c r="D24"/>
  <c r="D26"/>
  <c r="D27"/>
  <c r="D28"/>
  <c r="D29"/>
  <c r="D30"/>
  <c r="D31"/>
  <c r="D32"/>
  <c r="D33"/>
  <c r="D34"/>
  <c r="D35"/>
  <c r="C33"/>
  <c r="C31"/>
  <c r="D18" i="10"/>
  <c r="D19"/>
  <c r="D20"/>
  <c r="D21"/>
  <c r="D22"/>
  <c r="D23"/>
  <c r="D24"/>
  <c r="D26"/>
  <c r="D27"/>
  <c r="D28"/>
  <c r="D29"/>
  <c r="D30"/>
  <c r="D31"/>
  <c r="D32"/>
  <c r="D33"/>
  <c r="D34"/>
  <c r="D35"/>
  <c r="C33"/>
  <c r="C31"/>
  <c r="D18" i="12"/>
  <c r="D19"/>
  <c r="D20"/>
  <c r="D21"/>
  <c r="D22"/>
  <c r="D23"/>
  <c r="D24"/>
  <c r="D26"/>
  <c r="D27"/>
  <c r="D28"/>
  <c r="D29"/>
  <c r="D30"/>
  <c r="D31"/>
  <c r="D32"/>
  <c r="D34"/>
  <c r="D35"/>
  <c r="C33"/>
  <c r="C31"/>
  <c r="D18" i="11"/>
  <c r="D19"/>
  <c r="D20"/>
  <c r="D21"/>
  <c r="D22"/>
  <c r="D23"/>
  <c r="D24"/>
  <c r="D26"/>
  <c r="D27"/>
  <c r="D28"/>
  <c r="D29"/>
  <c r="D30"/>
  <c r="D31"/>
  <c r="D32"/>
  <c r="D33"/>
  <c r="D34"/>
  <c r="D35"/>
  <c r="C33"/>
  <c r="C31"/>
  <c r="D18" i="8"/>
  <c r="D19"/>
  <c r="D20"/>
  <c r="D21"/>
  <c r="D22"/>
  <c r="D23"/>
  <c r="D24"/>
  <c r="D26"/>
  <c r="D27"/>
  <c r="D28"/>
  <c r="D29"/>
  <c r="D30"/>
  <c r="D31"/>
  <c r="D32"/>
  <c r="D33"/>
  <c r="D34"/>
  <c r="D35"/>
  <c r="C33"/>
  <c r="C31"/>
  <c r="D18" i="9"/>
  <c r="D19"/>
  <c r="D20"/>
  <c r="D21"/>
  <c r="D22"/>
  <c r="D23"/>
  <c r="D24"/>
  <c r="D26"/>
  <c r="D27"/>
  <c r="D28"/>
  <c r="D29"/>
  <c r="D30"/>
  <c r="D31"/>
  <c r="D32"/>
  <c r="D33"/>
  <c r="D34"/>
  <c r="D35"/>
  <c r="C33"/>
  <c r="C31"/>
  <c r="D18" i="7"/>
  <c r="D19"/>
  <c r="D20"/>
  <c r="D21"/>
  <c r="D22"/>
  <c r="D23"/>
  <c r="D24"/>
  <c r="D26"/>
  <c r="D27"/>
  <c r="D28"/>
  <c r="D29"/>
  <c r="D30"/>
  <c r="D31"/>
  <c r="D32"/>
  <c r="D33"/>
  <c r="D34"/>
  <c r="D35"/>
  <c r="C33"/>
  <c r="C31"/>
  <c r="D18" i="6"/>
  <c r="D19"/>
  <c r="D20"/>
  <c r="D21"/>
  <c r="D22"/>
  <c r="D23"/>
  <c r="D24"/>
  <c r="D26"/>
  <c r="D27"/>
  <c r="D28"/>
  <c r="D29"/>
  <c r="D30"/>
  <c r="D31"/>
  <c r="D32"/>
  <c r="D33"/>
  <c r="D34"/>
  <c r="D35"/>
  <c r="C33"/>
  <c r="C31"/>
  <c r="D18" i="5"/>
  <c r="D19"/>
  <c r="D20"/>
  <c r="D21"/>
  <c r="D22"/>
  <c r="D23"/>
  <c r="D24"/>
  <c r="D26"/>
  <c r="D27"/>
  <c r="D28"/>
  <c r="D29"/>
  <c r="D30"/>
  <c r="D31"/>
  <c r="D32"/>
  <c r="D34"/>
  <c r="D35"/>
  <c r="C33"/>
  <c r="D33" s="1"/>
  <c r="C31"/>
  <c r="D18" i="4"/>
  <c r="D19"/>
  <c r="D20"/>
  <c r="D21"/>
  <c r="D22"/>
  <c r="D23"/>
  <c r="D24"/>
  <c r="D26"/>
  <c r="D27"/>
  <c r="D28"/>
  <c r="D29"/>
  <c r="D30"/>
  <c r="D32"/>
  <c r="D33"/>
  <c r="D34"/>
  <c r="D35"/>
  <c r="C33"/>
  <c r="C31"/>
  <c r="D31" s="1"/>
  <c r="C31" i="26"/>
  <c r="D18"/>
  <c r="D19"/>
  <c r="D20"/>
  <c r="D21"/>
  <c r="D22"/>
  <c r="D23"/>
  <c r="D24"/>
  <c r="D26"/>
  <c r="D27"/>
  <c r="D28"/>
  <c r="D29"/>
  <c r="D30"/>
  <c r="D31"/>
  <c r="D32"/>
  <c r="D33"/>
  <c r="D34"/>
  <c r="D35"/>
  <c r="C33"/>
  <c r="D18" i="3"/>
  <c r="D19"/>
  <c r="D20"/>
  <c r="D21"/>
  <c r="D22"/>
  <c r="D23"/>
  <c r="D24"/>
  <c r="D26"/>
  <c r="D27"/>
  <c r="D28"/>
  <c r="D29"/>
  <c r="D30"/>
  <c r="D31"/>
  <c r="D32"/>
  <c r="D33"/>
  <c r="D34"/>
  <c r="D35"/>
  <c r="C25"/>
  <c r="D25" s="1"/>
  <c r="C33"/>
  <c r="C17" l="1"/>
  <c r="D17" s="1"/>
  <c r="D33" i="12"/>
  <c r="D31" i="29"/>
  <c r="D33" i="14"/>
  <c r="C31" i="3"/>
  <c r="D19" i="1"/>
  <c r="D20"/>
  <c r="D21"/>
  <c r="D22"/>
  <c r="D23"/>
  <c r="D24"/>
  <c r="D26"/>
  <c r="D29"/>
  <c r="D32"/>
  <c r="D33"/>
  <c r="D34"/>
  <c r="D35"/>
  <c r="D19" i="2"/>
  <c r="D20"/>
  <c r="D21"/>
  <c r="D22"/>
  <c r="D23"/>
  <c r="D24"/>
  <c r="D26"/>
  <c r="D27"/>
  <c r="D28"/>
  <c r="D29"/>
  <c r="D30"/>
  <c r="D31"/>
  <c r="D32"/>
  <c r="D33"/>
  <c r="D34"/>
  <c r="D35"/>
  <c r="C33"/>
  <c r="C31"/>
  <c r="C31" i="1"/>
  <c r="C16" i="3" l="1"/>
  <c r="C15" s="1"/>
  <c r="D15" s="1"/>
  <c r="D31" i="1"/>
  <c r="D18" i="2"/>
  <c r="D16" i="3" l="1"/>
  <c r="D18" i="1" l="1"/>
  <c r="C25" i="26" l="1"/>
  <c r="C25" i="27"/>
  <c r="C25" i="17"/>
  <c r="C25" i="13"/>
  <c r="C25" i="8"/>
  <c r="C25" i="18"/>
  <c r="C25" i="2"/>
  <c r="D25" i="27" l="1"/>
  <c r="C17"/>
  <c r="C17" i="18"/>
  <c r="D25"/>
  <c r="C17" i="17"/>
  <c r="D25"/>
  <c r="D25" i="13"/>
  <c r="C17"/>
  <c r="D25" i="8"/>
  <c r="C17"/>
  <c r="C17" i="26"/>
  <c r="D25"/>
  <c r="D25" i="2"/>
  <c r="C17"/>
  <c r="D27" i="1"/>
  <c r="C25"/>
  <c r="D28"/>
  <c r="D30"/>
  <c r="C25" i="30"/>
  <c r="C25" i="29"/>
  <c r="C25" i="28"/>
  <c r="C25" i="16"/>
  <c r="C25" i="15"/>
  <c r="C25" i="14"/>
  <c r="C25" i="10"/>
  <c r="C25" i="12"/>
  <c r="C25" i="11"/>
  <c r="C25" i="9"/>
  <c r="C25" i="7"/>
  <c r="C25" i="6"/>
  <c r="C25" i="5"/>
  <c r="C25" i="4"/>
  <c r="D17" i="27" l="1"/>
  <c r="C16"/>
  <c r="D25" i="30"/>
  <c r="C17"/>
  <c r="D17" s="1"/>
  <c r="D25" i="29"/>
  <c r="C17"/>
  <c r="D25" i="28"/>
  <c r="C17"/>
  <c r="D17" i="18"/>
  <c r="C16"/>
  <c r="C16" i="17"/>
  <c r="D17"/>
  <c r="C17" i="16"/>
  <c r="D25"/>
  <c r="D25" i="15"/>
  <c r="C17"/>
  <c r="C17" i="14"/>
  <c r="D25"/>
  <c r="D17" i="13"/>
  <c r="C16"/>
  <c r="D25" i="10"/>
  <c r="C17"/>
  <c r="C17" i="12"/>
  <c r="D25"/>
  <c r="D25" i="11"/>
  <c r="C17"/>
  <c r="C16" i="8"/>
  <c r="D17"/>
  <c r="D25" i="9"/>
  <c r="C17"/>
  <c r="D25" i="7"/>
  <c r="C17"/>
  <c r="D25" i="6"/>
  <c r="C17"/>
  <c r="D25" i="5"/>
  <c r="C17"/>
  <c r="C17" i="4"/>
  <c r="D25"/>
  <c r="D17" i="26"/>
  <c r="C16"/>
  <c r="C16" i="2"/>
  <c r="D17"/>
  <c r="D25" i="1"/>
  <c r="C17"/>
  <c r="C16" i="30" l="1"/>
  <c r="C15" i="27"/>
  <c r="D15" s="1"/>
  <c r="D16"/>
  <c r="D17" i="29"/>
  <c r="C16"/>
  <c r="D17" i="28"/>
  <c r="C16"/>
  <c r="C15" i="18"/>
  <c r="D15" s="1"/>
  <c r="D16"/>
  <c r="C15" i="17"/>
  <c r="D15" s="1"/>
  <c r="D16"/>
  <c r="D17" i="16"/>
  <c r="C16"/>
  <c r="D17" i="15"/>
  <c r="C16"/>
  <c r="D17" i="14"/>
  <c r="C16"/>
  <c r="D16" i="13"/>
  <c r="C15"/>
  <c r="D15" s="1"/>
  <c r="D17" i="10"/>
  <c r="C16"/>
  <c r="D17" i="12"/>
  <c r="C16"/>
  <c r="D17" i="11"/>
  <c r="C16"/>
  <c r="D16" i="8"/>
  <c r="C15"/>
  <c r="D15" s="1"/>
  <c r="D17" i="9"/>
  <c r="C16"/>
  <c r="C16" i="7"/>
  <c r="D17"/>
  <c r="D17" i="6"/>
  <c r="C16"/>
  <c r="C16" i="5"/>
  <c r="D17"/>
  <c r="D17" i="4"/>
  <c r="C16"/>
  <c r="C15" i="26"/>
  <c r="D15" s="1"/>
  <c r="D16"/>
  <c r="C15" i="2"/>
  <c r="D15" s="1"/>
  <c r="D16"/>
  <c r="D17" i="1"/>
  <c r="C16"/>
  <c r="C15" i="30" l="1"/>
  <c r="D15" s="1"/>
  <c r="D16"/>
  <c r="C15" i="29"/>
  <c r="D15" s="1"/>
  <c r="D16"/>
  <c r="D16" i="28"/>
  <c r="C15"/>
  <c r="D15" s="1"/>
  <c r="D16" i="16"/>
  <c r="C15"/>
  <c r="D15" s="1"/>
  <c r="D16" i="15"/>
  <c r="C15"/>
  <c r="D15" s="1"/>
  <c r="C15" i="14"/>
  <c r="D15" s="1"/>
  <c r="D16"/>
  <c r="D16" i="10"/>
  <c r="C15"/>
  <c r="D15" s="1"/>
  <c r="D16" i="12"/>
  <c r="C15"/>
  <c r="D15" s="1"/>
  <c r="C15" i="11"/>
  <c r="D15" s="1"/>
  <c r="D16"/>
  <c r="D16" i="9"/>
  <c r="C15"/>
  <c r="D15" s="1"/>
  <c r="C15" i="7"/>
  <c r="D15" s="1"/>
  <c r="D16"/>
  <c r="C15" i="6"/>
  <c r="D15" s="1"/>
  <c r="D16"/>
  <c r="C15" i="5"/>
  <c r="D16"/>
  <c r="C15" i="4"/>
  <c r="D16"/>
  <c r="D16" i="1"/>
  <c r="C15"/>
  <c r="D15" i="4" l="1"/>
  <c r="D15" i="5"/>
  <c r="D15" i="1"/>
</calcChain>
</file>

<file path=xl/sharedStrings.xml><?xml version="1.0" encoding="utf-8"?>
<sst xmlns="http://schemas.openxmlformats.org/spreadsheetml/2006/main" count="984" uniqueCount="64">
  <si>
    <t>Звіт</t>
  </si>
  <si>
    <t>Одиниця виміру: грн, коп.</t>
  </si>
  <si>
    <t>Показники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</si>
  <si>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</si>
  <si>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</si>
  <si>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</si>
  <si>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</si>
  <si>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</si>
  <si>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Вивіз сміття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</si>
  <si>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</si>
  <si>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</si>
  <si>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</si>
  <si>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</si>
  <si>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Соціальне забезпечення</t>
  </si>
  <si>
    <t>Інші виплати населенню (стипендія Поляка)</t>
  </si>
  <si>
    <t>Капітальні видатки</t>
  </si>
  <si>
    <t>Оплата комунальних послуг та енергоносіїв:</t>
  </si>
  <si>
    <t>Придбання обладнання і предметів довгострокового користування</t>
  </si>
  <si>
    <t>Капітальний ремонт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</si>
  <si>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</si>
  <si>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Поточні ремонти</t>
  </si>
  <si>
    <t>Періодичність: квартальна</t>
  </si>
  <si>
    <t>КЕКВ</t>
  </si>
  <si>
    <t xml:space="preserve">Установа                                                                                                        </t>
  </si>
  <si>
    <t xml:space="preserve">Територія                                                                                                     </t>
  </si>
  <si>
    <t>м. Запоріжжя,  Шевченківський район</t>
  </si>
  <si>
    <t xml:space="preserve">Організаційно-правова форма господарювання                               </t>
  </si>
  <si>
    <t>Комунальна організація (установа, заклад)</t>
  </si>
  <si>
    <t xml:space="preserve">Код та назва типової відомчої класифікації видатків та кредитування місцевих бюджетів     </t>
  </si>
  <si>
    <t xml:space="preserve"> 06 Орган з питань освіти і науки</t>
  </si>
  <si>
    <t xml:space="preserve">Код та назва програмної класифікації видатків та кредитування місцевих бюджетів                                                
</t>
  </si>
  <si>
    <t>0611021 Надання загальної середньої освіти закладами загальної середньої освіти (у тому числі з дошкільними підрозділами (відділенями, групами)</t>
  </si>
  <si>
    <t>Запорізький ліцей № 34 Запорізької міської ради Запорізької області</t>
  </si>
  <si>
    <t xml:space="preserve">Запорізька гімназія № 77 Запорізької міської ради </t>
  </si>
  <si>
    <t>Запорізька гімназія № 93 Запорізької міської ради Запорізької області</t>
  </si>
  <si>
    <t>Запорізький академічний ліцей "Вибір" Запорізької міської ради Запорізької області</t>
  </si>
  <si>
    <t>про надходження та використання коштів</t>
  </si>
  <si>
    <t>за ІV квартал 2021 р.</t>
  </si>
  <si>
    <t>Надійшло коштів за звітний період (січень-грудень)</t>
  </si>
  <si>
    <t>Використано коштів за звітний період (січень-грудень)</t>
  </si>
  <si>
    <t xml:space="preserve">Запорізька початкова школа "Світанок" Запорізької міської ради </t>
  </si>
  <si>
    <t>Запорізька загальноосвітня школа І-ІІІ ступенів №4 Запорізької міської ради Запорізької області</t>
  </si>
  <si>
    <t>Запорізька загально-освітня школа І-ІІІ ступенів № 12 Запорізької міської ради Запорізької області</t>
  </si>
  <si>
    <t>Запорізька спеціалізована школа фізичної культури І-ІІІ ступенів № 18 Запорізької міської ради Запорізької області</t>
  </si>
  <si>
    <t>Запорізький навчально-виховний комплекс № 19 Запорізької міської ради Запорізької області</t>
  </si>
  <si>
    <t xml:space="preserve"> Запорізький навчально-виховний комплекс № 42 Запорізької міської ради Запорізької області</t>
  </si>
  <si>
    <t>Запорізька загальноосвітня школа І-ІІІ ступенів № 52 Запорізької міської ради Запорізької області</t>
  </si>
  <si>
    <t xml:space="preserve">Запорізька загальноосвітня школа І-ІІІ ступенів  № 53 Запорізької міської ради Запорізької області
</t>
  </si>
  <si>
    <t>Запорізька загальноосвітня школа І-ІІІ ступенів № 55 Запорізької міської ради Запорізької області</t>
  </si>
  <si>
    <t>Запорізький навчально-виховний комплекс № 60 Запорізької міської ради Запорізької області</t>
  </si>
  <si>
    <t>Запорізький навчально-виховний комплекс № 63 Запорізької міської ради Запорізької області</t>
  </si>
  <si>
    <t>Запорізький навчально-виховний комплекс № 64 Запорізької міської ради Запорізької області</t>
  </si>
  <si>
    <t>Запорізька загальноосвітня школа І-ІІІ ступенів № 65 Запорізької міської ради Запорізької області</t>
  </si>
  <si>
    <t>Запорізька загальноосвітня школа І-ІІІ ступенів № 95 Запорізької міської ради Запорізької області</t>
  </si>
  <si>
    <t xml:space="preserve">Запорізька загальноосвітня школа І-ІІІ ступенів  № 101 Запорізької міської ради Запорізької області
</t>
  </si>
  <si>
    <t>Запорізький навчально-виховний комплекс № 111 Запорізької міської ради Запорізької області</t>
  </si>
  <si>
    <t>Запорізька початкова школа "Мрія" ім.О.М.Поради Запорізької міської ради 
Запорізької міської ради Запорізької області</t>
  </si>
  <si>
    <t>Запорізький багатопрофільний ліцей "Перспектива" Запорізької міської ради Запорізької області
Запорізької міської ради Запорізької області</t>
  </si>
  <si>
    <t>Запорізька загальноосвітня школа І ступеня "Прогрес" з поглибленним вивчанням англійської мови  Запорізької 
Запорізької міської ради Запорізької області</t>
  </si>
  <si>
    <t>Предмети, матеріали, обладнання та інвентар Депутатський фонд</t>
  </si>
  <si>
    <t>Предмети, матеріали, обладнання та інвентар Громадський бюджет</t>
  </si>
  <si>
    <t>Оплата послуг (крім комунальних) Депутатський фонд</t>
  </si>
  <si>
    <t>Протипожежні заходи</t>
  </si>
  <si>
    <t xml:space="preserve">Запорізька початкова школа "Натхнення" Запорізької міської ради 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</si>
</sst>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9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Font="1" applyAlignment="1"/>
    <xf numFmtId="0" fontId="0" fillId="4" borderId="0" xfId="0" applyFont="1" applyFill="1" applyAlignment="1"/>
    <xf numFmtId="0" fontId="0" fillId="5" borderId="0" xfId="0" applyFont="1" applyFill="1" applyAlignment="1"/>
    <xf numFmtId="0" fontId="0" fillId="6" borderId="0" xfId="0" applyFont="1" applyFill="1" applyAlignment="1"/>
    <xf numFmtId="0" fontId="0" fillId="7" borderId="0" xfId="0" applyFont="1" applyFill="1" applyAlignment="1"/>
    <xf numFmtId="0" fontId="0" fillId="3" borderId="0" xfId="0" applyFont="1" applyFill="1" applyAlignment="1"/>
    <xf numFmtId="0" fontId="0" fillId="0" borderId="0" xfId="0" applyFont="1" applyFill="1" applyAlignment="1"/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4" fontId="0" fillId="0" borderId="0" xfId="0" applyNumberFormat="1" applyFont="1" applyAlignment="1"/>
    <xf numFmtId="0" fontId="11" fillId="0" borderId="0" xfId="0" applyFont="1" applyAlignment="1"/>
    <xf numFmtId="4" fontId="0" fillId="6" borderId="0" xfId="0" applyNumberFormat="1" applyFont="1" applyFill="1" applyAlignment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wrapText="1"/>
    </xf>
    <xf numFmtId="0" fontId="9" fillId="0" borderId="3" xfId="1" applyFont="1" applyFill="1" applyBorder="1" applyAlignment="1">
      <alignment horizontal="center" vertical="top"/>
    </xf>
    <xf numFmtId="4" fontId="9" fillId="0" borderId="3" xfId="1" applyNumberFormat="1" applyFont="1" applyFill="1" applyBorder="1" applyAlignment="1">
      <alignment horizontal="center"/>
    </xf>
    <xf numFmtId="4" fontId="12" fillId="0" borderId="3" xfId="1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7"/>
  <sheetViews>
    <sheetView tabSelected="1" view="pageBreakPreview" zoomScaleNormal="60" zoomScaleSheetLayoutView="100" workbookViewId="0">
      <selection activeCell="E33" sqref="E33"/>
    </sheetView>
  </sheetViews>
  <sheetFormatPr defaultColWidth="14.42578125" defaultRowHeight="15" customHeight="1"/>
  <cols>
    <col min="1" max="1" width="57.85546875" customWidth="1"/>
    <col min="2" max="2" width="10.85546875" customWidth="1"/>
    <col min="3" max="4" width="17.42578125" customWidth="1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51.75" customHeight="1">
      <c r="A5" s="17" t="s">
        <v>23</v>
      </c>
      <c r="B5" s="37" t="s">
        <v>41</v>
      </c>
      <c r="C5" s="37"/>
      <c r="D5" s="37"/>
      <c r="E5" s="18"/>
    </row>
    <row r="6" spans="1:5">
      <c r="A6" s="17" t="s">
        <v>24</v>
      </c>
      <c r="B6" s="16" t="s">
        <v>25</v>
      </c>
      <c r="C6" s="15"/>
      <c r="D6" s="15"/>
      <c r="E6" s="15"/>
    </row>
    <row r="7" spans="1:5">
      <c r="A7" s="17" t="s">
        <v>26</v>
      </c>
      <c r="B7" s="16" t="s">
        <v>27</v>
      </c>
      <c r="C7" s="15"/>
      <c r="D7" s="15"/>
      <c r="E7" s="15"/>
    </row>
    <row r="8" spans="1:5" ht="25.5">
      <c r="A8" s="1" t="s">
        <v>28</v>
      </c>
      <c r="B8" s="16" t="s">
        <v>29</v>
      </c>
      <c r="C8" s="15"/>
      <c r="D8" s="15"/>
      <c r="E8" s="15"/>
    </row>
    <row r="9" spans="1:5" ht="43.5" customHeight="1">
      <c r="A9" s="1" t="s">
        <v>30</v>
      </c>
      <c r="B9" s="41" t="s">
        <v>31</v>
      </c>
      <c r="C9" s="41"/>
      <c r="D9" s="41"/>
      <c r="E9" s="15"/>
    </row>
    <row r="10" spans="1:5">
      <c r="A10" s="3" t="s">
        <v>21</v>
      </c>
    </row>
    <row r="11" spans="1:5">
      <c r="A11" s="3" t="s">
        <v>1</v>
      </c>
    </row>
    <row r="12" spans="1:5" s="7" customFormat="1" ht="16.5" customHeight="1">
      <c r="A12" s="38"/>
      <c r="B12" s="39"/>
      <c r="C12" s="39"/>
      <c r="D12" s="39"/>
    </row>
    <row r="13" spans="1:5" s="7" customFormat="1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 s="7" customFormat="1">
      <c r="A14" s="24">
        <v>1</v>
      </c>
      <c r="B14" s="24">
        <v>2</v>
      </c>
      <c r="C14" s="24">
        <v>3</v>
      </c>
      <c r="D14" s="24">
        <v>4</v>
      </c>
    </row>
    <row r="15" spans="1:5" s="10" customFormat="1" ht="15.75" customHeight="1">
      <c r="A15" s="24" t="s">
        <v>3</v>
      </c>
      <c r="B15" s="24" t="s">
        <v>4</v>
      </c>
      <c r="C15" s="28">
        <f>C16+C33</f>
        <v>1279467.1906192692</v>
      </c>
      <c r="D15" s="28">
        <f>C15</f>
        <v>1279467.1906192692</v>
      </c>
      <c r="E15" s="22"/>
    </row>
    <row r="16" spans="1:5" s="9" customFormat="1" ht="36" customHeight="1">
      <c r="A16" s="26" t="s">
        <v>19</v>
      </c>
      <c r="B16" s="24">
        <v>2000</v>
      </c>
      <c r="C16" s="28">
        <f>C17+C31</f>
        <v>1279467.1906192692</v>
      </c>
      <c r="D16" s="28">
        <f t="shared" ref="D16:D35" si="0">C16</f>
        <v>1279467.1906192692</v>
      </c>
      <c r="E16" s="22"/>
    </row>
    <row r="17" spans="1:5" s="11" customFormat="1" ht="15.75" customHeight="1">
      <c r="A17" s="23" t="s">
        <v>5</v>
      </c>
      <c r="B17" s="24">
        <v>2200</v>
      </c>
      <c r="C17" s="28">
        <f>C18+C19+C20+C21+C22+C23+C24+C25</f>
        <v>1275807.1906192692</v>
      </c>
      <c r="D17" s="28">
        <f t="shared" si="0"/>
        <v>1275807.1906192692</v>
      </c>
      <c r="E17" s="22"/>
    </row>
    <row r="18" spans="1:5" s="12" customFormat="1" ht="15.75" customHeight="1">
      <c r="A18" s="29" t="s">
        <v>6</v>
      </c>
      <c r="B18" s="30">
        <v>2210</v>
      </c>
      <c r="C18" s="31">
        <v>2092.2960251963141</v>
      </c>
      <c r="D18" s="31">
        <f t="shared" si="0"/>
        <v>2092.2960251963141</v>
      </c>
      <c r="E18" s="22"/>
    </row>
    <row r="19" spans="1:5" s="8" customFormat="1" ht="15.75" customHeight="1">
      <c r="A19" s="29" t="s">
        <v>59</v>
      </c>
      <c r="B19" s="30">
        <v>2210</v>
      </c>
      <c r="C19" s="32">
        <f>40000</f>
        <v>40000</v>
      </c>
      <c r="D19" s="32">
        <f t="shared" si="0"/>
        <v>40000</v>
      </c>
      <c r="E19" s="22"/>
    </row>
    <row r="20" spans="1:5" s="13" customFormat="1" ht="15.75" customHeight="1">
      <c r="A20" s="23" t="s">
        <v>60</v>
      </c>
      <c r="B20" s="24">
        <v>2210</v>
      </c>
      <c r="C20" s="32">
        <v>0</v>
      </c>
      <c r="D20" s="32">
        <f t="shared" si="0"/>
        <v>0</v>
      </c>
      <c r="E20" s="22"/>
    </row>
    <row r="21" spans="1:5" s="12" customFormat="1" ht="15.75" customHeight="1">
      <c r="A21" s="23" t="s">
        <v>7</v>
      </c>
      <c r="B21" s="24">
        <v>2240</v>
      </c>
      <c r="C21" s="28">
        <v>29704.736858456705</v>
      </c>
      <c r="D21" s="28">
        <f t="shared" si="0"/>
        <v>29704.736858456705</v>
      </c>
      <c r="E21" s="22"/>
    </row>
    <row r="22" spans="1:5" s="21" customFormat="1" ht="15.75" customHeight="1">
      <c r="A22" s="23" t="s">
        <v>61</v>
      </c>
      <c r="B22" s="24">
        <v>2240</v>
      </c>
      <c r="C22" s="33">
        <f>84999.89</f>
        <v>84999.89</v>
      </c>
      <c r="D22" s="33">
        <f t="shared" si="0"/>
        <v>84999.89</v>
      </c>
      <c r="E22" s="22"/>
    </row>
    <row r="23" spans="1:5" s="21" customFormat="1" ht="15.75" customHeight="1">
      <c r="A23" s="23" t="s">
        <v>20</v>
      </c>
      <c r="B23" s="24">
        <v>2240</v>
      </c>
      <c r="C23" s="33">
        <v>49907</v>
      </c>
      <c r="D23" s="33">
        <f t="shared" si="0"/>
        <v>49907</v>
      </c>
      <c r="E23" s="22"/>
    </row>
    <row r="24" spans="1:5" s="21" customFormat="1" ht="15.75" customHeight="1">
      <c r="A24" s="23" t="s">
        <v>62</v>
      </c>
      <c r="B24" s="24">
        <v>2240</v>
      </c>
      <c r="C24" s="33">
        <f>16665+1568.92</f>
        <v>18233.919999999998</v>
      </c>
      <c r="D24" s="33">
        <f t="shared" si="0"/>
        <v>18233.919999999998</v>
      </c>
      <c r="E24" s="22"/>
    </row>
    <row r="25" spans="1:5" s="12" customFormat="1" ht="15.75" customHeight="1">
      <c r="A25" s="23" t="s">
        <v>16</v>
      </c>
      <c r="B25" s="24">
        <v>2270</v>
      </c>
      <c r="C25" s="28">
        <f>C26+C27+C28+C29+C30</f>
        <v>1050869.3477356161</v>
      </c>
      <c r="D25" s="28">
        <f t="shared" si="0"/>
        <v>1050869.3477356161</v>
      </c>
      <c r="E25" s="22"/>
    </row>
    <row r="26" spans="1:5" s="7" customFormat="1" ht="15.75" customHeight="1">
      <c r="A26" s="25" t="s">
        <v>9</v>
      </c>
      <c r="B26" s="26">
        <v>2271</v>
      </c>
      <c r="C26" s="27">
        <v>858479.61233224615</v>
      </c>
      <c r="D26" s="27">
        <f t="shared" si="0"/>
        <v>858479.61233224615</v>
      </c>
      <c r="E26" s="22"/>
    </row>
    <row r="27" spans="1:5" s="7" customFormat="1" ht="15.75" customHeight="1">
      <c r="A27" s="25" t="s">
        <v>10</v>
      </c>
      <c r="B27" s="26">
        <v>2272</v>
      </c>
      <c r="C27" s="27">
        <v>50339.481871304073</v>
      </c>
      <c r="D27" s="27">
        <f t="shared" si="0"/>
        <v>50339.481871304073</v>
      </c>
      <c r="E27" s="22"/>
    </row>
    <row r="28" spans="1:5" s="7" customFormat="1" ht="15.75" customHeight="1">
      <c r="A28" s="25" t="s">
        <v>11</v>
      </c>
      <c r="B28" s="26">
        <v>2273</v>
      </c>
      <c r="C28" s="27">
        <v>133540.08802022893</v>
      </c>
      <c r="D28" s="27">
        <f t="shared" si="0"/>
        <v>133540.08802022893</v>
      </c>
      <c r="E28" s="22"/>
    </row>
    <row r="29" spans="1:5" s="7" customFormat="1" ht="15.75" customHeight="1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 s="7" customFormat="1" ht="15.75" customHeight="1">
      <c r="A30" s="25" t="s">
        <v>8</v>
      </c>
      <c r="B30" s="26">
        <v>2275</v>
      </c>
      <c r="C30" s="34">
        <v>8510.1655118369999</v>
      </c>
      <c r="D30" s="34">
        <f t="shared" si="0"/>
        <v>8510.1655118369999</v>
      </c>
      <c r="E30" s="22"/>
    </row>
    <row r="31" spans="1:5" s="11" customFormat="1" ht="15.75" customHeight="1">
      <c r="A31" s="23" t="s">
        <v>13</v>
      </c>
      <c r="B31" s="24">
        <v>2700</v>
      </c>
      <c r="C31" s="28">
        <f>C32</f>
        <v>3660</v>
      </c>
      <c r="D31" s="28">
        <f t="shared" si="0"/>
        <v>3660</v>
      </c>
      <c r="E31" s="22"/>
    </row>
    <row r="32" spans="1:5" s="7" customFormat="1" ht="15.75" customHeight="1">
      <c r="A32" s="25" t="s">
        <v>14</v>
      </c>
      <c r="B32" s="26">
        <v>2730</v>
      </c>
      <c r="C32" s="27">
        <v>3660</v>
      </c>
      <c r="D32" s="27">
        <f t="shared" si="0"/>
        <v>3660</v>
      </c>
      <c r="E32" s="22"/>
    </row>
    <row r="33" spans="1:5" s="9" customFormat="1" ht="15.75" customHeight="1">
      <c r="A33" s="24" t="s">
        <v>15</v>
      </c>
      <c r="B33" s="24">
        <v>3000</v>
      </c>
      <c r="C33" s="27">
        <v>0</v>
      </c>
      <c r="D33" s="27">
        <f t="shared" si="0"/>
        <v>0</v>
      </c>
      <c r="E33" s="22"/>
    </row>
    <row r="34" spans="1:5" s="7" customFormat="1" ht="15.75" customHeight="1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 s="7" customFormat="1" ht="15.75" customHeight="1" thickBot="1">
      <c r="A35" s="6" t="s">
        <v>18</v>
      </c>
      <c r="B35" s="4">
        <v>3130</v>
      </c>
      <c r="C35" s="27">
        <v>0</v>
      </c>
      <c r="D35" s="27">
        <f t="shared" si="0"/>
        <v>0</v>
      </c>
      <c r="E35" s="22"/>
    </row>
    <row r="36" spans="1:5" s="7" customFormat="1" ht="15" customHeight="1">
      <c r="A36" s="5"/>
    </row>
    <row r="37" spans="1:5" s="7" customFormat="1" ht="35.450000000000003" customHeight="1">
      <c r="C37" s="20"/>
    </row>
    <row r="38" spans="1:5" s="7" customFormat="1" ht="15.75" customHeight="1"/>
    <row r="39" spans="1:5" s="7" customFormat="1" ht="15.75" customHeight="1"/>
    <row r="40" spans="1:5" s="7" customFormat="1" ht="36" customHeight="1"/>
    <row r="41" spans="1:5" s="7" customFormat="1" ht="15.75" customHeight="1"/>
    <row r="42" spans="1:5" s="7" customFormat="1" ht="15.75" customHeight="1"/>
    <row r="43" spans="1:5" s="8" customFormat="1" ht="15.75" customHeight="1"/>
    <row r="44" spans="1:5" s="8" customFormat="1" ht="15.75" customHeight="1"/>
    <row r="45" spans="1:5" s="8" customFormat="1" ht="15.75" customHeight="1"/>
    <row r="46" spans="1:5" s="7" customFormat="1" ht="15.75" customHeight="1"/>
    <row r="47" spans="1:5" s="7" customFormat="1" ht="15.75" customHeight="1"/>
    <row r="48" spans="1:5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7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7" customFormat="1" ht="15.75" customHeight="1"/>
    <row r="66" s="7" customFormat="1" ht="15.75" customHeight="1"/>
    <row r="67" s="7" customFormat="1" ht="15.75" customHeight="1"/>
    <row r="68" s="7" customFormat="1" ht="15.75" customHeight="1"/>
    <row r="69" s="7" customFormat="1" ht="15.75" customHeight="1"/>
    <row r="70" s="7" customFormat="1" ht="15.75" customHeight="1"/>
    <row r="71" s="7" customFormat="1" ht="15.75" customHeight="1"/>
    <row r="72" s="7" customFormat="1" ht="25.5" customHeight="1"/>
    <row r="73" s="7" customFormat="1" ht="15.75" customHeight="1"/>
    <row r="74" s="7" customFormat="1" ht="15.75" customHeight="1"/>
    <row r="75" s="7" customFormat="1" ht="42.6" customHeight="1"/>
    <row r="76" s="7" customFormat="1" ht="15.75" customHeight="1"/>
    <row r="77" s="7" customFormat="1" ht="15.75" customHeight="1"/>
    <row r="78" s="7" customFormat="1" ht="36" customHeight="1"/>
    <row r="79" s="7" customFormat="1" ht="15.75" customHeight="1"/>
    <row r="80" s="7" customFormat="1" ht="15.75" customHeight="1"/>
    <row r="81" s="8" customFormat="1" ht="15.75" customHeight="1"/>
    <row r="82" s="8" customFormat="1" ht="15.75" customHeight="1"/>
    <row r="83" s="8" customFormat="1" ht="15.75" customHeight="1"/>
    <row r="84" s="7" customFormat="1" ht="15.75" customHeight="1"/>
    <row r="85" s="7" customFormat="1" ht="15.75" customHeight="1"/>
    <row r="86" s="7" customFormat="1" ht="15.75" customHeight="1"/>
    <row r="87" s="7" customFormat="1" ht="15.75" customHeight="1"/>
    <row r="88" s="7" customFormat="1" ht="15.75" customHeight="1"/>
    <row r="89" s="7" customFormat="1" ht="15.75" customHeight="1"/>
    <row r="90" s="7" customFormat="1" ht="15.75" customHeight="1"/>
    <row r="91" s="7" customFormat="1" ht="15.75" customHeight="1"/>
    <row r="92" s="7" customFormat="1" ht="15.75" customHeight="1"/>
    <row r="93" s="7" customFormat="1" ht="15.75" customHeight="1"/>
    <row r="94" s="7" customFormat="1" ht="15.75" customHeight="1"/>
    <row r="95" s="7" customFormat="1" ht="15.75" customHeight="1"/>
    <row r="96" s="7" customFormat="1" ht="15.75" customHeight="1"/>
    <row r="97" s="7" customFormat="1" ht="15.75" customHeight="1"/>
    <row r="98" s="7" customFormat="1" ht="15.75" customHeight="1"/>
    <row r="99" s="7" customFormat="1" ht="15.75" customHeight="1"/>
    <row r="100" s="7" customFormat="1" ht="15.75" customHeight="1"/>
    <row r="101" s="7" customFormat="1" ht="15.75" customHeight="1"/>
    <row r="102" s="7" customFormat="1" ht="15.75" customHeight="1"/>
    <row r="103" s="7" customFormat="1" ht="15.75" customHeight="1"/>
    <row r="104" s="7" customFormat="1" ht="15.75" customHeight="1"/>
    <row r="105" s="7" customFormat="1" ht="15.75" customHeight="1"/>
    <row r="106" s="7" customFormat="1" ht="15.75" customHeight="1"/>
    <row r="107" s="7" customFormat="1" ht="15.75" customHeight="1"/>
    <row r="108" s="7" customFormat="1" ht="15.75" customHeight="1"/>
    <row r="109" s="7" customFormat="1" ht="15.75" customHeight="1"/>
    <row r="110" s="7" customFormat="1" ht="25.5" customHeight="1"/>
    <row r="111" s="7" customFormat="1" ht="15.75" customHeight="1"/>
    <row r="112" s="7" customFormat="1" ht="15.75" customHeight="1"/>
    <row r="113" s="7" customFormat="1" ht="39" customHeight="1"/>
    <row r="114" s="7" customFormat="1" ht="15.75" customHeight="1"/>
    <row r="115" s="7" customFormat="1" ht="15.75" customHeight="1"/>
    <row r="116" s="7" customFormat="1" ht="36" customHeight="1"/>
    <row r="117" s="7" customFormat="1" ht="15.75" customHeight="1"/>
    <row r="118" s="7" customFormat="1" ht="15.75" customHeight="1"/>
    <row r="119" s="8" customFormat="1" ht="15.75" customHeight="1"/>
    <row r="120" s="8" customFormat="1" ht="15.75" customHeight="1"/>
    <row r="121" s="8" customFormat="1" ht="15.75" customHeight="1"/>
    <row r="122" s="7" customFormat="1" ht="15.75" customHeight="1"/>
    <row r="123" s="7" customFormat="1" ht="15.75" customHeight="1"/>
    <row r="124" s="7" customFormat="1" ht="15.75" customHeight="1"/>
    <row r="125" s="7" customFormat="1" ht="15.75" customHeight="1"/>
    <row r="126" s="7" customFormat="1" ht="15.75" customHeight="1"/>
    <row r="127" s="7" customFormat="1" ht="15.75" customHeight="1"/>
    <row r="128" s="7" customFormat="1" ht="15.75" customHeight="1"/>
    <row r="129" s="7" customFormat="1" ht="15.75" customHeight="1"/>
    <row r="130" s="7" customFormat="1" ht="15.75" customHeight="1"/>
    <row r="131" s="7" customFormat="1" ht="15.75" customHeight="1"/>
    <row r="132" s="7" customFormat="1" ht="15.75" customHeight="1"/>
    <row r="133" s="7" customFormat="1" ht="15.75" customHeight="1"/>
    <row r="134" s="7" customFormat="1" ht="15.75" customHeight="1"/>
    <row r="135" s="7" customFormat="1" ht="15.75" customHeight="1"/>
    <row r="136" s="7" customFormat="1" ht="15.75" customHeight="1"/>
    <row r="137" s="7" customFormat="1" ht="15.75" customHeight="1"/>
    <row r="138" s="7" customFormat="1" ht="15.75" customHeight="1"/>
    <row r="139" s="7" customFormat="1" ht="15.75" customHeight="1"/>
    <row r="140" s="7" customFormat="1" ht="15.75" customHeight="1"/>
    <row r="141" s="7" customFormat="1" ht="15.75" customHeight="1"/>
    <row r="142" s="7" customFormat="1" ht="15.75" customHeight="1"/>
    <row r="143" s="7" customFormat="1" ht="15.75" customHeight="1"/>
    <row r="144" s="7" customFormat="1" ht="15.75" customHeight="1"/>
    <row r="145" s="7" customFormat="1" ht="15.75" customHeight="1"/>
    <row r="146" s="7" customFormat="1" ht="15.75" customHeight="1"/>
    <row r="147" s="7" customFormat="1" ht="15.75" customHeight="1"/>
    <row r="148" s="7" customFormat="1" ht="25.5" customHeight="1"/>
    <row r="149" s="7" customFormat="1" ht="15.75" customHeight="1"/>
    <row r="150" s="7" customFormat="1" ht="15.75" customHeight="1"/>
    <row r="151" s="7" customFormat="1" ht="43.15" customHeight="1"/>
    <row r="152" s="7" customFormat="1" ht="20.25" customHeight="1"/>
    <row r="153" s="7" customFormat="1" ht="15.75" customHeight="1"/>
    <row r="154" s="7" customFormat="1" ht="36" customHeight="1"/>
    <row r="155" s="7" customFormat="1" ht="15.75" customHeight="1"/>
    <row r="156" s="7" customFormat="1" ht="15.75" customHeight="1"/>
    <row r="157" s="8" customFormat="1" ht="15.75" customHeight="1"/>
    <row r="158" s="8" customFormat="1" ht="15.75" customHeight="1"/>
    <row r="159" s="8" customFormat="1" ht="15.75" customHeight="1"/>
    <row r="160" s="7" customFormat="1" ht="15.75" customHeight="1"/>
    <row r="161" s="7" customFormat="1" ht="15.75" customHeight="1"/>
    <row r="162" s="7" customFormat="1" ht="15.75" customHeight="1"/>
    <row r="163" s="7" customFormat="1" ht="15.75" customHeight="1"/>
    <row r="164" s="7" customFormat="1" ht="15.75" customHeight="1"/>
    <row r="165" s="7" customFormat="1" ht="15.75" customHeight="1"/>
    <row r="166" s="7" customFormat="1" ht="15.75" customHeight="1"/>
    <row r="167" s="7" customFormat="1" ht="15.75" customHeight="1"/>
    <row r="168" s="7" customFormat="1" ht="15.75" customHeight="1"/>
    <row r="169" s="7" customFormat="1" ht="15.75" customHeight="1"/>
    <row r="170" s="7" customFormat="1" ht="15.75" customHeight="1"/>
    <row r="171" s="7" customFormat="1" ht="15.75" customHeight="1"/>
    <row r="172" s="7" customFormat="1" ht="15.75" customHeight="1"/>
    <row r="173" s="7" customFormat="1" ht="15.75" customHeight="1"/>
    <row r="174" s="7" customFormat="1" ht="15.75" customHeight="1"/>
    <row r="175" s="7" customFormat="1" ht="15.75" customHeight="1"/>
    <row r="176" s="7" customFormat="1" ht="15.75" customHeight="1"/>
    <row r="177" s="7" customFormat="1" ht="15.75" customHeight="1"/>
    <row r="178" s="7" customFormat="1" ht="15.75" customHeight="1"/>
    <row r="179" s="7" customFormat="1" ht="15.75" customHeight="1"/>
    <row r="180" s="7" customFormat="1" ht="15.75" customHeight="1"/>
    <row r="181" s="7" customFormat="1" ht="15.75" customHeight="1"/>
    <row r="182" s="7" customFormat="1" ht="15.75" customHeight="1"/>
    <row r="183" s="7" customFormat="1" ht="15.75" customHeight="1"/>
    <row r="184" s="7" customFormat="1" ht="15.75" customHeight="1"/>
    <row r="185" s="7" customFormat="1" ht="15.75" customHeight="1"/>
    <row r="186" s="7" customFormat="1" ht="25.5" customHeight="1"/>
    <row r="187" s="7" customFormat="1" ht="15.75" customHeight="1"/>
    <row r="188" s="7" customFormat="1" ht="16.149999999999999" customHeight="1"/>
    <row r="189" s="7" customFormat="1" ht="48" customHeight="1"/>
    <row r="190" s="7" customFormat="1" ht="15.75" customHeight="1"/>
    <row r="191" s="7" customFormat="1" ht="15.75" customHeight="1"/>
    <row r="192" s="7" customFormat="1" ht="36" customHeight="1"/>
    <row r="193" s="7" customFormat="1" ht="15.75" customHeight="1"/>
    <row r="194" s="7" customFormat="1" ht="15.75" customHeight="1"/>
    <row r="195" s="8" customFormat="1" ht="15.75" customHeight="1"/>
    <row r="196" s="8" customFormat="1" ht="15.75" customHeight="1"/>
    <row r="197" s="8" customFormat="1" ht="15.75" customHeight="1"/>
    <row r="198" s="7" customFormat="1" ht="15.75" customHeight="1"/>
    <row r="199" s="7" customFormat="1" ht="15.75" customHeight="1"/>
    <row r="200" s="7" customFormat="1" ht="15.75" customHeight="1"/>
    <row r="201" s="7" customFormat="1" ht="15.75" customHeight="1"/>
    <row r="202" s="7" customFormat="1" ht="15.75" customHeight="1"/>
    <row r="203" s="7" customFormat="1" ht="15.75" customHeight="1"/>
    <row r="204" s="7" customFormat="1" ht="15.75" customHeight="1"/>
    <row r="205" s="7" customFormat="1" ht="15.75" customHeight="1"/>
    <row r="206" s="7" customFormat="1" ht="15.75" customHeight="1"/>
    <row r="207" s="7" customFormat="1" ht="15.75" customHeight="1"/>
    <row r="208" s="7" customFormat="1" ht="15.75" customHeight="1"/>
    <row r="209" s="7" customFormat="1" ht="15.75" customHeight="1"/>
    <row r="210" s="7" customFormat="1" ht="15.75" customHeight="1"/>
    <row r="211" s="7" customFormat="1" ht="15.75" customHeight="1"/>
    <row r="212" s="7" customFormat="1" ht="15.75" customHeight="1"/>
    <row r="213" s="7" customFormat="1" ht="15.75" customHeight="1"/>
    <row r="214" s="7" customFormat="1" ht="15.75" customHeight="1"/>
    <row r="215" s="7" customFormat="1" ht="15.75" customHeight="1"/>
    <row r="216" s="7" customFormat="1" ht="15.75" customHeight="1"/>
    <row r="217" s="7" customFormat="1" ht="15.75" customHeight="1"/>
    <row r="218" s="7" customFormat="1" ht="15.75" customHeight="1"/>
    <row r="219" s="7" customFormat="1" ht="15.75" customHeight="1"/>
    <row r="220" s="7" customFormat="1" ht="15.75" customHeight="1"/>
    <row r="221" s="7" customFormat="1" ht="15.75" customHeight="1"/>
    <row r="222" s="7" customFormat="1" ht="15.75" customHeight="1"/>
    <row r="223" s="7" customFormat="1" ht="15.75" customHeight="1"/>
    <row r="224" s="7" customFormat="1" ht="25.5" customHeight="1"/>
    <row r="225" s="7" customFormat="1" ht="15.75" customHeight="1"/>
    <row r="226" s="7" customFormat="1" ht="15.75" customHeight="1"/>
    <row r="227" s="7" customFormat="1" ht="50.45" customHeight="1"/>
    <row r="228" s="7" customFormat="1" ht="15.75" customHeight="1"/>
    <row r="229" s="7" customFormat="1" ht="15.75" customHeight="1"/>
    <row r="230" s="7" customFormat="1" ht="36" customHeight="1"/>
    <row r="231" s="7" customFormat="1" ht="15.75" customHeight="1"/>
    <row r="232" s="7" customFormat="1" ht="15.75" customHeight="1"/>
    <row r="233" s="8" customFormat="1" ht="15.75" customHeight="1"/>
    <row r="234" s="8" customFormat="1" ht="15.75" customHeight="1"/>
    <row r="235" s="8" customFormat="1" ht="15.75" customHeight="1"/>
    <row r="236" s="7" customFormat="1" ht="15.75" customHeight="1"/>
    <row r="237" s="7" customFormat="1" ht="15.75" customHeight="1"/>
    <row r="238" s="7" customFormat="1" ht="15.75" customHeight="1"/>
    <row r="239" s="7" customFormat="1" ht="15.75" customHeight="1"/>
    <row r="240" s="7" customFormat="1" ht="15.75" customHeight="1"/>
    <row r="241" s="7" customFormat="1" ht="15.75" customHeight="1"/>
    <row r="242" s="7" customFormat="1" ht="15.75" customHeight="1"/>
    <row r="243" s="7" customFormat="1" ht="15.75" customHeight="1"/>
    <row r="244" s="7" customFormat="1" ht="15.75" customHeight="1"/>
    <row r="245" s="7" customFormat="1" ht="15.75" customHeight="1"/>
    <row r="246" s="7" customFormat="1" ht="15.75" customHeight="1"/>
    <row r="247" s="7" customFormat="1" ht="15.75" customHeight="1"/>
    <row r="248" s="7" customFormat="1" ht="15.75" customHeight="1"/>
    <row r="249" s="7" customFormat="1" ht="15.75" customHeight="1"/>
    <row r="250" s="7" customFormat="1" ht="15.75" customHeight="1"/>
    <row r="251" s="7" customFormat="1" ht="15.75" customHeight="1"/>
    <row r="252" s="7" customFormat="1" ht="15.75" customHeight="1"/>
    <row r="253" s="7" customFormat="1" ht="15.75" customHeight="1"/>
    <row r="254" s="7" customFormat="1" ht="15.75" customHeight="1"/>
    <row r="255" s="7" customFormat="1" ht="15.75" customHeight="1"/>
    <row r="256" s="7" customFormat="1" ht="15.75" customHeight="1"/>
    <row r="257" s="7" customFormat="1" ht="15.75" customHeight="1"/>
    <row r="258" s="7" customFormat="1" ht="15.75" customHeight="1"/>
    <row r="259" s="7" customFormat="1" ht="15.75" customHeight="1"/>
    <row r="260" s="7" customFormat="1" ht="15.75" customHeight="1"/>
    <row r="261" s="7" customFormat="1" ht="15.75" customHeight="1"/>
    <row r="262" s="7" customFormat="1" ht="25.5" customHeight="1"/>
    <row r="263" s="7" customFormat="1" ht="15.75" customHeight="1"/>
    <row r="264" s="7" customFormat="1" ht="15.75" customHeight="1"/>
    <row r="265" s="7" customFormat="1" ht="44.45" customHeight="1"/>
    <row r="266" s="7" customFormat="1" ht="15.75" customHeight="1"/>
    <row r="267" s="7" customFormat="1" ht="15.75" customHeight="1"/>
    <row r="268" s="7" customFormat="1" ht="36" customHeight="1"/>
    <row r="269" s="7" customFormat="1" ht="15.75" customHeight="1"/>
    <row r="270" s="7" customFormat="1" ht="15.75" customHeight="1"/>
    <row r="271" s="8" customFormat="1" ht="15.75" customHeight="1"/>
    <row r="272" s="8" customFormat="1" ht="15.75" customHeight="1"/>
    <row r="273" s="8" customFormat="1" ht="15.75" customHeight="1"/>
    <row r="274" s="7" customFormat="1" ht="15.75" customHeight="1"/>
    <row r="275" s="7" customFormat="1" ht="15.75" customHeight="1"/>
    <row r="276" s="7" customFormat="1" ht="15.75" customHeight="1"/>
    <row r="277" s="7" customFormat="1" ht="15.75" customHeight="1"/>
    <row r="278" s="7" customFormat="1" ht="15.75" customHeight="1"/>
    <row r="279" s="7" customFormat="1" ht="15.75" customHeight="1"/>
    <row r="280" s="7" customFormat="1" ht="15.75" customHeight="1"/>
    <row r="281" s="7" customFormat="1" ht="15.75" customHeight="1"/>
    <row r="282" s="7" customFormat="1" ht="15.75" customHeight="1"/>
    <row r="283" s="7" customFormat="1" ht="15.75" customHeight="1"/>
    <row r="284" s="7" customFormat="1" ht="15.75" customHeight="1"/>
    <row r="285" s="7" customFormat="1" ht="15.75" customHeight="1"/>
    <row r="286" s="7" customFormat="1" ht="15.75" customHeight="1"/>
    <row r="287" s="7" customFormat="1" ht="15.75" customHeight="1"/>
    <row r="288" s="7" customFormat="1" ht="15.75" customHeight="1"/>
    <row r="289" s="7" customFormat="1" ht="15.75" customHeight="1"/>
    <row r="290" s="7" customFormat="1" ht="15.75" customHeight="1"/>
    <row r="291" s="7" customFormat="1" ht="15.75" customHeight="1"/>
    <row r="292" s="7" customFormat="1" ht="15.75" customHeight="1"/>
    <row r="293" s="7" customFormat="1" ht="15.75" customHeight="1"/>
    <row r="294" s="7" customFormat="1" ht="15.75" customHeight="1"/>
    <row r="295" s="7" customFormat="1" ht="15.75" customHeight="1"/>
    <row r="296" s="7" customFormat="1" ht="15.75" customHeight="1"/>
    <row r="297" s="7" customFormat="1" ht="15.75" customHeight="1"/>
    <row r="298" s="7" customFormat="1" ht="15.75" customHeight="1"/>
    <row r="299" s="7" customFormat="1" ht="15.75" customHeight="1"/>
    <row r="300" s="7" customFormat="1" ht="25.5" customHeight="1"/>
    <row r="301" s="7" customFormat="1" ht="15.75" customHeight="1"/>
    <row r="302" s="7" customFormat="1" ht="15.75" customHeight="1"/>
    <row r="303" s="7" customFormat="1" ht="46.9" customHeight="1"/>
    <row r="304" s="7" customFormat="1" ht="15.75" customHeight="1"/>
    <row r="305" s="7" customFormat="1" ht="15.75" customHeight="1"/>
    <row r="306" s="7" customFormat="1" ht="36" customHeight="1"/>
    <row r="307" s="7" customFormat="1" ht="15.75" customHeight="1"/>
    <row r="308" s="7" customFormat="1" ht="15.75" customHeight="1"/>
    <row r="309" s="8" customFormat="1" ht="15.75" customHeight="1"/>
    <row r="310" s="8" customFormat="1" ht="15.75" customHeight="1"/>
    <row r="311" s="8" customFormat="1" ht="15.75" customHeight="1"/>
    <row r="312" s="7" customFormat="1" ht="15.75" customHeight="1"/>
    <row r="313" s="7" customFormat="1" ht="15.75" customHeight="1"/>
    <row r="314" s="7" customFormat="1" ht="15.75" customHeight="1"/>
    <row r="315" s="7" customFormat="1" ht="15.75" customHeight="1"/>
    <row r="316" s="7" customFormat="1" ht="15.75" customHeight="1"/>
    <row r="317" s="7" customFormat="1" ht="15.75" customHeight="1"/>
    <row r="318" s="7" customFormat="1" ht="15.75" customHeight="1"/>
    <row r="319" s="7" customFormat="1" ht="15.75" customHeight="1"/>
    <row r="320" s="7" customFormat="1" ht="15.75" customHeight="1"/>
    <row r="321" s="7" customFormat="1" ht="15.75" customHeight="1"/>
    <row r="322" s="7" customFormat="1" ht="15.75" customHeight="1"/>
    <row r="323" s="7" customFormat="1" ht="15.75" customHeight="1"/>
    <row r="324" s="7" customFormat="1" ht="15.75" customHeight="1"/>
    <row r="325" s="7" customFormat="1" ht="15.75" customHeight="1"/>
    <row r="326" s="7" customFormat="1" ht="15.75" customHeight="1"/>
    <row r="327" s="7" customFormat="1" ht="15.75" customHeight="1"/>
    <row r="328" s="7" customFormat="1" ht="15.75" customHeight="1"/>
    <row r="329" s="7" customFormat="1" ht="15.75" customHeight="1"/>
    <row r="330" s="7" customFormat="1" ht="15.75" customHeight="1"/>
    <row r="331" s="7" customFormat="1" ht="15.75" customHeight="1"/>
    <row r="332" s="7" customFormat="1" ht="15.75" customHeight="1"/>
    <row r="333" s="7" customFormat="1" ht="15.75" customHeight="1"/>
    <row r="334" s="7" customFormat="1" ht="15.75" customHeight="1"/>
    <row r="335" s="7" customFormat="1" ht="15.75" customHeight="1"/>
    <row r="336" s="7" customFormat="1" ht="15.75" customHeight="1"/>
    <row r="337" s="7" customFormat="1" ht="15.75" customHeight="1"/>
    <row r="338" s="7" customFormat="1" ht="25.5" customHeight="1"/>
    <row r="339" s="7" customFormat="1" ht="15.75" customHeight="1"/>
    <row r="340" s="7" customFormat="1" ht="15.75" customHeight="1"/>
    <row r="341" s="7" customFormat="1" ht="51" customHeight="1"/>
    <row r="342" s="7" customFormat="1" ht="15.75" customHeight="1"/>
    <row r="343" s="7" customFormat="1" ht="15.75" customHeight="1"/>
    <row r="344" s="7" customFormat="1" ht="36" customHeight="1"/>
    <row r="345" s="7" customFormat="1" ht="15.75" customHeight="1"/>
    <row r="346" s="7" customFormat="1" ht="15.75" customHeight="1"/>
    <row r="347" s="8" customFormat="1" ht="15.75" customHeight="1"/>
    <row r="348" s="8" customFormat="1" ht="15.75" customHeight="1"/>
    <row r="349" s="8" customFormat="1" ht="15.75" customHeight="1"/>
    <row r="350" s="7" customFormat="1" ht="15.75" customHeight="1"/>
    <row r="351" s="7" customFormat="1" ht="15.75" customHeight="1"/>
    <row r="352" s="7" customFormat="1" ht="15.75" customHeight="1"/>
    <row r="353" s="7" customFormat="1" ht="15.75" customHeight="1"/>
    <row r="354" s="7" customFormat="1" ht="15.75" customHeight="1"/>
    <row r="355" s="7" customFormat="1" ht="15.75" customHeight="1"/>
    <row r="356" s="7" customFormat="1" ht="15.75" customHeight="1"/>
    <row r="357" s="7" customFormat="1" ht="15.75" customHeight="1"/>
    <row r="358" s="7" customFormat="1" ht="15.75" customHeight="1"/>
    <row r="359" s="7" customFormat="1" ht="15.75" customHeight="1"/>
    <row r="360" s="7" customFormat="1" ht="15.75" customHeight="1"/>
    <row r="361" s="7" customFormat="1" ht="15.75" customHeight="1"/>
    <row r="362" s="7" customFormat="1" ht="15.75" customHeight="1"/>
    <row r="363" s="7" customFormat="1" ht="15.75" customHeight="1"/>
    <row r="364" s="7" customFormat="1" ht="15.75" customHeight="1"/>
    <row r="365" s="7" customFormat="1" ht="15.75" customHeight="1"/>
    <row r="366" s="7" customFormat="1" ht="15.75" customHeight="1"/>
    <row r="367" s="7" customFormat="1" ht="15.75" customHeight="1"/>
    <row r="368" s="7" customFormat="1" ht="15.75" customHeight="1"/>
    <row r="369" s="7" customFormat="1" ht="15.75" customHeight="1"/>
    <row r="370" s="7" customFormat="1" ht="15.75" customHeight="1"/>
    <row r="371" s="7" customFormat="1" ht="15.75" customHeight="1"/>
    <row r="372" s="7" customFormat="1" ht="15.75" customHeight="1"/>
    <row r="373" s="7" customFormat="1" ht="15.75" customHeight="1"/>
    <row r="374" s="7" customFormat="1" ht="15.75" customHeight="1"/>
    <row r="375" s="7" customFormat="1" ht="15.75" customHeight="1"/>
    <row r="376" s="7" customFormat="1" ht="25.5" customHeight="1"/>
    <row r="377" s="7" customFormat="1" ht="15.75" customHeight="1"/>
    <row r="378" s="7" customFormat="1" ht="15.75" customHeight="1"/>
    <row r="379" s="7" customFormat="1" ht="51" customHeight="1"/>
    <row r="380" s="7" customFormat="1" ht="15.75" customHeight="1"/>
    <row r="381" s="7" customFormat="1" ht="15.75" customHeight="1"/>
    <row r="382" s="7" customFormat="1" ht="36" customHeight="1"/>
    <row r="383" s="7" customFormat="1" ht="15.75" customHeight="1"/>
    <row r="384" s="7" customFormat="1" ht="15.75" customHeight="1"/>
    <row r="385" s="8" customFormat="1" ht="15.75" customHeight="1"/>
    <row r="386" s="8" customFormat="1" ht="15.75" customHeight="1"/>
    <row r="387" s="8" customFormat="1" ht="15.75" customHeight="1"/>
    <row r="388" s="7" customFormat="1" ht="15.75" customHeight="1"/>
    <row r="389" s="7" customFormat="1" ht="15.75" customHeight="1"/>
    <row r="390" s="7" customFormat="1" ht="15.75" customHeight="1"/>
    <row r="391" s="7" customFormat="1" ht="15.75" customHeight="1"/>
    <row r="392" s="7" customFormat="1" ht="15.75" customHeight="1"/>
    <row r="393" s="7" customFormat="1" ht="15.75" customHeight="1"/>
    <row r="394" s="7" customFormat="1" ht="15.75" customHeight="1"/>
    <row r="395" s="7" customFormat="1" ht="15.75" customHeight="1"/>
    <row r="396" s="7" customFormat="1" ht="15.75" customHeight="1"/>
    <row r="397" s="7" customFormat="1" ht="15.75" customHeight="1"/>
    <row r="398" s="7" customFormat="1" ht="15.75" customHeight="1"/>
    <row r="399" s="7" customFormat="1" ht="15.75" customHeight="1"/>
    <row r="400" s="7" customFormat="1" ht="15.75" customHeight="1"/>
    <row r="401" s="7" customFormat="1" ht="15.75" customHeight="1"/>
    <row r="402" s="7" customFormat="1" ht="15.75" customHeight="1"/>
    <row r="403" s="7" customFormat="1" ht="15.75" customHeight="1"/>
    <row r="404" s="7" customFormat="1" ht="15.75" customHeight="1"/>
    <row r="405" s="7" customFormat="1" ht="15.75" customHeight="1"/>
    <row r="406" s="7" customFormat="1" ht="15.75" customHeight="1"/>
    <row r="407" s="7" customFormat="1" ht="15.75" customHeight="1"/>
    <row r="408" s="7" customFormat="1" ht="15.75" customHeight="1"/>
    <row r="409" s="7" customFormat="1" ht="15.75" customHeight="1"/>
    <row r="410" s="7" customFormat="1" ht="15.75" customHeight="1"/>
    <row r="411" s="7" customFormat="1" ht="15.75" customHeight="1"/>
    <row r="412" s="7" customFormat="1" ht="15.75" customHeight="1"/>
    <row r="413" s="7" customFormat="1" ht="15.75" customHeight="1"/>
    <row r="414" s="7" customFormat="1" ht="25.5" customHeight="1"/>
    <row r="415" s="7" customFormat="1" ht="15.75" customHeight="1"/>
    <row r="416" s="7" customFormat="1" ht="15.75" customHeight="1"/>
    <row r="417" s="7" customFormat="1" ht="61.15" customHeight="1"/>
    <row r="418" s="7" customFormat="1" ht="15.75" customHeight="1"/>
    <row r="419" s="7" customFormat="1" ht="15.75" customHeight="1"/>
    <row r="420" s="7" customFormat="1" ht="36" customHeight="1"/>
    <row r="421" s="7" customFormat="1" ht="15.75" customHeight="1"/>
    <row r="422" s="7" customFormat="1" ht="15.75" customHeight="1"/>
    <row r="423" s="8" customFormat="1" ht="15.75" customHeight="1"/>
    <row r="424" s="8" customFormat="1" ht="15.75" customHeight="1"/>
    <row r="425" s="8" customFormat="1" ht="15.75" customHeight="1"/>
    <row r="426" s="7" customFormat="1" ht="15.75" customHeight="1"/>
    <row r="427" s="7" customFormat="1" ht="15.75" customHeight="1"/>
    <row r="428" s="7" customFormat="1" ht="15.75" customHeight="1"/>
    <row r="429" s="7" customFormat="1" ht="15.75" customHeight="1"/>
    <row r="430" s="7" customFormat="1" ht="15.75" customHeight="1"/>
    <row r="431" s="7" customFormat="1" ht="15.75" customHeight="1"/>
    <row r="432" s="7" customFormat="1" ht="15.75" customHeight="1"/>
    <row r="433" s="7" customFormat="1" ht="15.75" customHeight="1"/>
    <row r="434" s="7" customFormat="1" ht="15.75" customHeight="1"/>
    <row r="435" s="7" customFormat="1" ht="15.75" customHeight="1"/>
    <row r="436" s="7" customFormat="1" ht="15.75" customHeight="1"/>
    <row r="437" s="7" customFormat="1" ht="15.75" customHeight="1"/>
    <row r="438" s="7" customFormat="1" ht="15.75" customHeight="1"/>
    <row r="439" s="7" customFormat="1" ht="15.75" customHeight="1"/>
    <row r="440" s="7" customFormat="1" ht="15.75" customHeight="1"/>
    <row r="441" s="7" customFormat="1" ht="15.75" customHeight="1"/>
    <row r="442" s="7" customFormat="1" ht="15.75" customHeight="1"/>
    <row r="443" s="7" customFormat="1" ht="15.75" customHeight="1"/>
    <row r="444" s="7" customFormat="1" ht="15.75" customHeight="1"/>
    <row r="445" s="7" customFormat="1" ht="15.75" customHeight="1"/>
    <row r="446" s="7" customFormat="1" ht="15.75" customHeight="1"/>
    <row r="447" s="7" customFormat="1" ht="15.75" customHeight="1"/>
    <row r="448" s="7" customFormat="1" ht="15.75" customHeight="1"/>
    <row r="449" s="7" customFormat="1" ht="15.75" customHeight="1"/>
    <row r="450" s="7" customFormat="1" ht="15.75" customHeight="1"/>
    <row r="451" s="7" customFormat="1" ht="15.75" customHeight="1"/>
    <row r="452" s="7" customFormat="1" ht="25.5" customHeight="1"/>
    <row r="453" s="7" customFormat="1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</sheetData>
  <mergeCells count="6">
    <mergeCell ref="B5:D5"/>
    <mergeCell ref="A12:D12"/>
    <mergeCell ref="A1:D1"/>
    <mergeCell ref="A3:D3"/>
    <mergeCell ref="A2:D2"/>
    <mergeCell ref="B9:D9"/>
  </mergeCells>
  <pageMargins left="0.70866141732283472" right="0.70866141732283472" top="0.55118110236220474" bottom="0.35433070866141736" header="0" footer="0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70" zoomScaleSheetLayoutView="100" workbookViewId="0">
      <selection activeCell="E15" sqref="E15:E36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45" customHeight="1">
      <c r="A5" s="17" t="s">
        <v>23</v>
      </c>
      <c r="B5" s="37" t="s">
        <v>49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865678.86204323487</v>
      </c>
      <c r="D15" s="28">
        <f>C15</f>
        <v>865678.86204323487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865678.86204323487</v>
      </c>
      <c r="D16" s="28">
        <f t="shared" ref="D16:D35" si="0">C16</f>
        <v>865678.86204323487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865678.86204323487</v>
      </c>
      <c r="D17" s="28">
        <f t="shared" si="0"/>
        <v>865678.86204323487</v>
      </c>
      <c r="E17" s="22"/>
    </row>
    <row r="18" spans="1:5" s="12" customFormat="1">
      <c r="A18" s="29" t="s">
        <v>6</v>
      </c>
      <c r="B18" s="30">
        <v>2210</v>
      </c>
      <c r="C18" s="31">
        <v>1498.3130546454956</v>
      </c>
      <c r="D18" s="31">
        <f t="shared" si="0"/>
        <v>1498.3130546454956</v>
      </c>
      <c r="E18" s="22"/>
    </row>
    <row r="19" spans="1:5" s="8" customFormat="1">
      <c r="A19" s="29" t="s">
        <v>59</v>
      </c>
      <c r="B19" s="30">
        <v>2210</v>
      </c>
      <c r="C19" s="32">
        <f>10000</f>
        <v>10000</v>
      </c>
      <c r="D19" s="32">
        <f t="shared" si="0"/>
        <v>10000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32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21271.84417685779</v>
      </c>
      <c r="D21" s="28">
        <f t="shared" si="0"/>
        <v>21271.84417685779</v>
      </c>
      <c r="E21" s="22"/>
    </row>
    <row r="22" spans="1:5">
      <c r="A22" s="23" t="s">
        <v>61</v>
      </c>
      <c r="B22" s="24">
        <v>2240</v>
      </c>
      <c r="C22" s="35">
        <f>49999.99</f>
        <v>49999.99</v>
      </c>
      <c r="D22" s="35">
        <f t="shared" si="0"/>
        <v>49999.99</v>
      </c>
      <c r="E22" s="22"/>
    </row>
    <row r="23" spans="1:5">
      <c r="A23" s="23" t="s">
        <v>20</v>
      </c>
      <c r="B23" s="24">
        <v>2240</v>
      </c>
      <c r="C23" s="35">
        <f>49899</f>
        <v>49899</v>
      </c>
      <c r="D23" s="35">
        <f t="shared" si="0"/>
        <v>49899</v>
      </c>
      <c r="E23" s="22"/>
    </row>
    <row r="24" spans="1:5">
      <c r="A24" s="23" t="s">
        <v>62</v>
      </c>
      <c r="B24" s="24">
        <v>2240</v>
      </c>
      <c r="C24" s="35">
        <f>1123.52</f>
        <v>1123.52</v>
      </c>
      <c r="D24" s="35">
        <f t="shared" si="0"/>
        <v>1123.52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731886.19481173158</v>
      </c>
      <c r="D25" s="28">
        <f t="shared" si="0"/>
        <v>731886.19481173158</v>
      </c>
      <c r="E25" s="22"/>
    </row>
    <row r="26" spans="1:5">
      <c r="A26" s="25" t="s">
        <v>9</v>
      </c>
      <c r="B26" s="26">
        <v>2271</v>
      </c>
      <c r="C26" s="27">
        <v>520008.78742688702</v>
      </c>
      <c r="D26" s="27">
        <f t="shared" si="0"/>
        <v>520008.78742688702</v>
      </c>
      <c r="E26" s="22"/>
    </row>
    <row r="27" spans="1:5">
      <c r="A27" s="25" t="s">
        <v>10</v>
      </c>
      <c r="B27" s="26">
        <v>2272</v>
      </c>
      <c r="C27" s="27">
        <v>11275.869363536509</v>
      </c>
      <c r="D27" s="27">
        <f t="shared" si="0"/>
        <v>11275.869363536509</v>
      </c>
      <c r="E27" s="22"/>
    </row>
    <row r="28" spans="1:5">
      <c r="A28" s="25" t="s">
        <v>11</v>
      </c>
      <c r="B28" s="26">
        <v>2273</v>
      </c>
      <c r="C28" s="27">
        <v>195791.50311692056</v>
      </c>
      <c r="D28" s="27">
        <f t="shared" si="0"/>
        <v>195791.50311692056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4810.0349043874203</v>
      </c>
      <c r="D30" s="34">
        <f t="shared" si="0"/>
        <v>4810.0349043874203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0</v>
      </c>
      <c r="D35" s="27">
        <f t="shared" si="0"/>
        <v>0</v>
      </c>
      <c r="E35" s="22"/>
    </row>
    <row r="36" spans="1:5" ht="18">
      <c r="A36" s="5"/>
      <c r="C36" s="20"/>
      <c r="D36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100" zoomScaleSheetLayoutView="100" workbookViewId="0">
      <selection activeCell="E15" sqref="E15:E3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45" customHeight="1">
      <c r="A5" s="17" t="s">
        <v>23</v>
      </c>
      <c r="B5" s="37" t="s">
        <v>50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1788159.975072159</v>
      </c>
      <c r="D15" s="28">
        <f>C15</f>
        <v>1788159.975072159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1788159.975072159</v>
      </c>
      <c r="D16" s="28">
        <f t="shared" ref="D16:D35" si="0">C16</f>
        <v>1788159.975072159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1788159.975072159</v>
      </c>
      <c r="D17" s="28">
        <f t="shared" si="0"/>
        <v>1788159.975072159</v>
      </c>
      <c r="E17" s="22"/>
    </row>
    <row r="18" spans="1:5" s="12" customFormat="1">
      <c r="A18" s="29" t="s">
        <v>6</v>
      </c>
      <c r="B18" s="30">
        <v>2210</v>
      </c>
      <c r="C18" s="31">
        <v>2503.9914077933836</v>
      </c>
      <c r="D18" s="28">
        <f t="shared" si="0"/>
        <v>2503.9914077933836</v>
      </c>
      <c r="E18" s="22"/>
    </row>
    <row r="19" spans="1:5" s="8" customFormat="1">
      <c r="A19" s="29" t="s">
        <v>59</v>
      </c>
      <c r="B19" s="30">
        <v>2210</v>
      </c>
      <c r="C19" s="32">
        <v>0</v>
      </c>
      <c r="D19" s="28">
        <f t="shared" si="0"/>
        <v>0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35549.656916907887</v>
      </c>
      <c r="D21" s="28">
        <f t="shared" si="0"/>
        <v>35549.656916907887</v>
      </c>
      <c r="E21" s="22"/>
    </row>
    <row r="22" spans="1:5">
      <c r="A22" s="23" t="s">
        <v>61</v>
      </c>
      <c r="B22" s="24">
        <v>2240</v>
      </c>
      <c r="C22" s="35">
        <f>15000+30000+24998.54+35000</f>
        <v>104998.54000000001</v>
      </c>
      <c r="D22" s="28">
        <f t="shared" si="0"/>
        <v>104998.54000000001</v>
      </c>
      <c r="E22" s="22"/>
    </row>
    <row r="23" spans="1:5">
      <c r="A23" s="23" t="s">
        <v>20</v>
      </c>
      <c r="B23" s="24">
        <v>2240</v>
      </c>
      <c r="C23" s="35">
        <v>0</v>
      </c>
      <c r="D23" s="28">
        <f t="shared" si="0"/>
        <v>0</v>
      </c>
      <c r="E23" s="22"/>
    </row>
    <row r="24" spans="1:5">
      <c r="A24" s="23" t="s">
        <v>62</v>
      </c>
      <c r="B24" s="24">
        <v>2240</v>
      </c>
      <c r="C24" s="35">
        <f>1877.63</f>
        <v>1877.63</v>
      </c>
      <c r="D24" s="28">
        <f t="shared" si="0"/>
        <v>1877.63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1643230.1567474576</v>
      </c>
      <c r="D25" s="28">
        <f t="shared" si="0"/>
        <v>1643230.1567474576</v>
      </c>
      <c r="E25" s="22"/>
    </row>
    <row r="26" spans="1:5">
      <c r="A26" s="25" t="s">
        <v>9</v>
      </c>
      <c r="B26" s="26">
        <v>2271</v>
      </c>
      <c r="C26" s="27">
        <v>1384558.0380618793</v>
      </c>
      <c r="D26" s="27">
        <f t="shared" si="0"/>
        <v>1384558.0380618793</v>
      </c>
      <c r="E26" s="22"/>
    </row>
    <row r="27" spans="1:5">
      <c r="A27" s="25" t="s">
        <v>10</v>
      </c>
      <c r="B27" s="26">
        <v>2272</v>
      </c>
      <c r="C27" s="27">
        <v>53700.82971938917</v>
      </c>
      <c r="D27" s="27">
        <f t="shared" si="0"/>
        <v>53700.82971938917</v>
      </c>
      <c r="E27" s="22"/>
    </row>
    <row r="28" spans="1:5">
      <c r="A28" s="25" t="s">
        <v>11</v>
      </c>
      <c r="B28" s="26">
        <v>2273</v>
      </c>
      <c r="C28" s="27">
        <v>192988.86075616995</v>
      </c>
      <c r="D28" s="27">
        <f t="shared" si="0"/>
        <v>192988.86075616995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11982.428210019176</v>
      </c>
      <c r="D30" s="34">
        <f t="shared" si="0"/>
        <v>11982.428210019176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0</v>
      </c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70" zoomScaleSheetLayoutView="100" workbookViewId="0">
      <selection activeCell="E15" sqref="E15:E3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45" customHeight="1">
      <c r="A5" s="17" t="s">
        <v>23</v>
      </c>
      <c r="B5" s="37" t="s">
        <v>51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941571.30023376131</v>
      </c>
      <c r="D15" s="28">
        <f>C15</f>
        <v>941571.30023376131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582912.30023376131</v>
      </c>
      <c r="D16" s="28">
        <f t="shared" ref="D16:D35" si="0">C16</f>
        <v>582912.30023376131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582912.30023376131</v>
      </c>
      <c r="D17" s="28">
        <f t="shared" si="0"/>
        <v>582912.30023376131</v>
      </c>
      <c r="E17" s="22"/>
    </row>
    <row r="18" spans="1:5" s="12" customFormat="1">
      <c r="A18" s="29" t="s">
        <v>6</v>
      </c>
      <c r="B18" s="30">
        <v>2210</v>
      </c>
      <c r="C18" s="31">
        <v>772.51849708508882</v>
      </c>
      <c r="D18" s="28">
        <f t="shared" si="0"/>
        <v>772.51849708508882</v>
      </c>
      <c r="E18" s="22"/>
    </row>
    <row r="19" spans="1:5" s="8" customFormat="1">
      <c r="A19" s="29" t="s">
        <v>59</v>
      </c>
      <c r="B19" s="30">
        <v>2210</v>
      </c>
      <c r="C19" s="32">
        <f>14000+21000+19999+18500+30000+20000</f>
        <v>123499</v>
      </c>
      <c r="D19" s="28">
        <f t="shared" si="0"/>
        <v>123499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10967.596553193243</v>
      </c>
      <c r="D21" s="28">
        <f t="shared" si="0"/>
        <v>10967.596553193243</v>
      </c>
      <c r="E21" s="22"/>
    </row>
    <row r="22" spans="1:5">
      <c r="A22" s="23" t="s">
        <v>61</v>
      </c>
      <c r="B22" s="24">
        <v>2240</v>
      </c>
      <c r="C22" s="35">
        <v>0</v>
      </c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>
        <f>40112+45255</f>
        <v>85367</v>
      </c>
      <c r="D23" s="28">
        <f t="shared" si="0"/>
        <v>85367</v>
      </c>
      <c r="E23" s="22"/>
    </row>
    <row r="24" spans="1:5">
      <c r="A24" s="23" t="s">
        <v>62</v>
      </c>
      <c r="B24" s="24">
        <v>2240</v>
      </c>
      <c r="C24" s="35">
        <f>579.27</f>
        <v>579.27</v>
      </c>
      <c r="D24" s="28">
        <f t="shared" si="0"/>
        <v>579.27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361726.91518348304</v>
      </c>
      <c r="D25" s="28">
        <f t="shared" si="0"/>
        <v>361726.91518348304</v>
      </c>
      <c r="E25" s="22"/>
    </row>
    <row r="26" spans="1:5">
      <c r="A26" s="25" t="s">
        <v>9</v>
      </c>
      <c r="B26" s="26">
        <v>2271</v>
      </c>
      <c r="C26" s="27">
        <v>277897.05570292415</v>
      </c>
      <c r="D26" s="27">
        <f t="shared" si="0"/>
        <v>277897.05570292415</v>
      </c>
      <c r="E26" s="22"/>
    </row>
    <row r="27" spans="1:5">
      <c r="A27" s="25" t="s">
        <v>10</v>
      </c>
      <c r="B27" s="26">
        <v>2272</v>
      </c>
      <c r="C27" s="27">
        <v>13294.736493491682</v>
      </c>
      <c r="D27" s="27">
        <f t="shared" si="0"/>
        <v>13294.736493491682</v>
      </c>
      <c r="E27" s="22"/>
    </row>
    <row r="28" spans="1:5">
      <c r="A28" s="25" t="s">
        <v>11</v>
      </c>
      <c r="B28" s="26">
        <v>2273</v>
      </c>
      <c r="C28" s="27">
        <v>65181.966761431911</v>
      </c>
      <c r="D28" s="27">
        <f t="shared" si="0"/>
        <v>65181.966761431911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5353.1562256353054</v>
      </c>
      <c r="D30" s="34">
        <f t="shared" si="0"/>
        <v>5353.1562256353054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358659</v>
      </c>
      <c r="D33" s="28">
        <f t="shared" si="0"/>
        <v>358659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358659</v>
      </c>
      <c r="D35" s="27">
        <f t="shared" si="0"/>
        <v>358659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80" zoomScaleSheetLayoutView="100" workbookViewId="0">
      <selection activeCell="E15" sqref="E15:E40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46.5" customHeight="1">
      <c r="A5" s="17" t="s">
        <v>23</v>
      </c>
      <c r="B5" s="37" t="s">
        <v>52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5034488.4150693575</v>
      </c>
      <c r="D15" s="28">
        <f>C15</f>
        <v>5034488.4150693575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5034488.4150693575</v>
      </c>
      <c r="D16" s="28">
        <f t="shared" ref="D16:D35" si="0">C16</f>
        <v>5034488.4150693575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5034488.4150693575</v>
      </c>
      <c r="D17" s="28">
        <f t="shared" si="0"/>
        <v>5034488.4150693575</v>
      </c>
      <c r="E17" s="22"/>
    </row>
    <row r="18" spans="1:5" s="12" customFormat="1">
      <c r="A18" s="29" t="s">
        <v>6</v>
      </c>
      <c r="B18" s="30">
        <v>2210</v>
      </c>
      <c r="C18" s="31">
        <v>3507.3327146902157</v>
      </c>
      <c r="D18" s="28">
        <f t="shared" si="0"/>
        <v>3507.3327146902157</v>
      </c>
      <c r="E18" s="22"/>
    </row>
    <row r="19" spans="1:5" s="8" customFormat="1">
      <c r="A19" s="29" t="s">
        <v>59</v>
      </c>
      <c r="B19" s="30">
        <v>2210</v>
      </c>
      <c r="C19" s="32">
        <v>0</v>
      </c>
      <c r="D19" s="28">
        <f t="shared" si="0"/>
        <v>0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49794.2901531604</v>
      </c>
      <c r="D21" s="28">
        <f t="shared" si="0"/>
        <v>49794.2901531604</v>
      </c>
      <c r="E21" s="22"/>
    </row>
    <row r="22" spans="1:5">
      <c r="A22" s="23" t="s">
        <v>61</v>
      </c>
      <c r="B22" s="24">
        <v>2240</v>
      </c>
      <c r="C22" s="35">
        <f>100000</f>
        <v>100000</v>
      </c>
      <c r="D22" s="28">
        <f t="shared" si="0"/>
        <v>100000</v>
      </c>
      <c r="E22" s="22"/>
    </row>
    <row r="23" spans="1:5">
      <c r="A23" s="23" t="s">
        <v>20</v>
      </c>
      <c r="B23" s="24">
        <v>2240</v>
      </c>
      <c r="C23" s="35">
        <f>1175+9846+49900+49900+49990+49900+17266</f>
        <v>227977</v>
      </c>
      <c r="D23" s="28">
        <f t="shared" si="0"/>
        <v>227977</v>
      </c>
      <c r="E23" s="22"/>
    </row>
    <row r="24" spans="1:5">
      <c r="A24" s="23" t="s">
        <v>62</v>
      </c>
      <c r="B24" s="24">
        <v>2240</v>
      </c>
      <c r="C24" s="35">
        <f>49995+2629.99</f>
        <v>52624.99</v>
      </c>
      <c r="D24" s="28">
        <f t="shared" si="0"/>
        <v>52624.99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4600584.8022015067</v>
      </c>
      <c r="D25" s="28">
        <f t="shared" si="0"/>
        <v>4600584.8022015067</v>
      </c>
      <c r="E25" s="22"/>
    </row>
    <row r="26" spans="1:5">
      <c r="A26" s="25" t="s">
        <v>9</v>
      </c>
      <c r="B26" s="26">
        <v>2271</v>
      </c>
      <c r="C26" s="27">
        <v>3335304.5451319381</v>
      </c>
      <c r="D26" s="27">
        <f t="shared" si="0"/>
        <v>3335304.5451319381</v>
      </c>
      <c r="E26" s="22"/>
    </row>
    <row r="27" spans="1:5">
      <c r="A27" s="25" t="s">
        <v>10</v>
      </c>
      <c r="B27" s="26">
        <v>2272</v>
      </c>
      <c r="C27" s="27">
        <v>133658.04491141124</v>
      </c>
      <c r="D27" s="27">
        <f t="shared" si="0"/>
        <v>133658.04491141124</v>
      </c>
      <c r="E27" s="22"/>
    </row>
    <row r="28" spans="1:5">
      <c r="A28" s="25" t="s">
        <v>11</v>
      </c>
      <c r="B28" s="26">
        <v>2273</v>
      </c>
      <c r="C28" s="27">
        <v>1106897.1573313659</v>
      </c>
      <c r="D28" s="27">
        <f t="shared" si="0"/>
        <v>1106897.1573313659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24725.054826791031</v>
      </c>
      <c r="D30" s="34">
        <f t="shared" si="0"/>
        <v>24725.054826791031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0</v>
      </c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70" zoomScaleSheetLayoutView="100" workbookViewId="0">
      <selection activeCell="E15" sqref="E15:E36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56.25" customHeight="1">
      <c r="A5" s="17" t="s">
        <v>23</v>
      </c>
      <c r="B5" s="37" t="s">
        <v>33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1829399.5853105583</v>
      </c>
      <c r="D15" s="28">
        <f>C15</f>
        <v>1829399.5853105583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1219460.5353105583</v>
      </c>
      <c r="D16" s="28">
        <f t="shared" ref="D16:D35" si="0">C16</f>
        <v>1219460.5353105583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1219460.5353105583</v>
      </c>
      <c r="D17" s="28">
        <f t="shared" si="0"/>
        <v>1219460.5353105583</v>
      </c>
      <c r="E17" s="22"/>
    </row>
    <row r="18" spans="1:5" s="12" customFormat="1">
      <c r="A18" s="29" t="s">
        <v>6</v>
      </c>
      <c r="B18" s="30">
        <v>2210</v>
      </c>
      <c r="C18" s="31">
        <v>1824.4354871326054</v>
      </c>
      <c r="D18" s="28">
        <f t="shared" si="0"/>
        <v>1824.4354871326054</v>
      </c>
      <c r="E18" s="22"/>
    </row>
    <row r="19" spans="1:5" s="8" customFormat="1">
      <c r="A19" s="29" t="s">
        <v>59</v>
      </c>
      <c r="B19" s="30">
        <v>2210</v>
      </c>
      <c r="C19" s="32">
        <f>12700</f>
        <v>12700</v>
      </c>
      <c r="D19" s="28">
        <f t="shared" si="0"/>
        <v>12700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25901.868286261939</v>
      </c>
      <c r="D21" s="28">
        <f t="shared" si="0"/>
        <v>25901.868286261939</v>
      </c>
      <c r="E21" s="22"/>
    </row>
    <row r="22" spans="1:5">
      <c r="A22" s="23" t="s">
        <v>61</v>
      </c>
      <c r="B22" s="24">
        <v>2240</v>
      </c>
      <c r="C22" s="35">
        <f>49900+49900</f>
        <v>99800</v>
      </c>
      <c r="D22" s="28">
        <f t="shared" si="0"/>
        <v>99800</v>
      </c>
      <c r="E22" s="22"/>
    </row>
    <row r="23" spans="1:5">
      <c r="A23" s="23" t="s">
        <v>20</v>
      </c>
      <c r="B23" s="24">
        <v>2240</v>
      </c>
      <c r="C23" s="35">
        <v>0</v>
      </c>
      <c r="D23" s="28">
        <f t="shared" si="0"/>
        <v>0</v>
      </c>
      <c r="E23" s="22"/>
    </row>
    <row r="24" spans="1:5">
      <c r="A24" s="23" t="s">
        <v>62</v>
      </c>
      <c r="B24" s="24">
        <v>2240</v>
      </c>
      <c r="C24" s="35">
        <f>49700+40000+1368.06</f>
        <v>91068.06</v>
      </c>
      <c r="D24" s="28">
        <f t="shared" si="0"/>
        <v>91068.06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988166.17153716367</v>
      </c>
      <c r="D25" s="28">
        <f t="shared" si="0"/>
        <v>988166.17153716367</v>
      </c>
      <c r="E25" s="22"/>
    </row>
    <row r="26" spans="1:5">
      <c r="A26" s="25" t="s">
        <v>9</v>
      </c>
      <c r="B26" s="26">
        <v>2271</v>
      </c>
      <c r="C26" s="27">
        <v>909771.33551239234</v>
      </c>
      <c r="D26" s="27">
        <f t="shared" si="0"/>
        <v>909771.33551239234</v>
      </c>
      <c r="E26" s="22"/>
    </row>
    <row r="27" spans="1:5">
      <c r="A27" s="25" t="s">
        <v>10</v>
      </c>
      <c r="B27" s="26">
        <v>2272</v>
      </c>
      <c r="C27" s="27">
        <v>21053.342700606092</v>
      </c>
      <c r="D27" s="27">
        <f t="shared" si="0"/>
        <v>21053.342700606092</v>
      </c>
      <c r="E27" s="22"/>
    </row>
    <row r="28" spans="1:5">
      <c r="A28" s="25" t="s">
        <v>11</v>
      </c>
      <c r="B28" s="26">
        <v>2273</v>
      </c>
      <c r="C28" s="27">
        <v>55500.220776952534</v>
      </c>
      <c r="D28" s="27">
        <f t="shared" si="0"/>
        <v>55500.220776952534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1841.2725472126181</v>
      </c>
      <c r="D30" s="34">
        <f t="shared" si="0"/>
        <v>1841.2725472126181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609939.05000000005</v>
      </c>
      <c r="D33" s="28">
        <f t="shared" si="0"/>
        <v>609939.05000000005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609939.05000000005</v>
      </c>
      <c r="D35" s="27">
        <f t="shared" si="0"/>
        <v>609939.05000000005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90" zoomScaleSheetLayoutView="100" workbookViewId="0">
      <selection activeCell="E15" sqref="E15:E37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67.5" customHeight="1">
      <c r="A5" s="17" t="s">
        <v>23</v>
      </c>
      <c r="B5" s="37" t="s">
        <v>34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1336497.2894476254</v>
      </c>
      <c r="D15" s="28">
        <f>C15</f>
        <v>1336497.2894476254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1286597.2894476254</v>
      </c>
      <c r="D16" s="28">
        <f t="shared" ref="D16:D35" si="0">C16</f>
        <v>1286597.2894476254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1279277.2894476254</v>
      </c>
      <c r="D17" s="28">
        <f t="shared" si="0"/>
        <v>1279277.2894476254</v>
      </c>
      <c r="E17" s="22"/>
    </row>
    <row r="18" spans="1:5" s="12" customFormat="1">
      <c r="A18" s="29" t="s">
        <v>6</v>
      </c>
      <c r="B18" s="30">
        <v>2210</v>
      </c>
      <c r="C18" s="31">
        <v>2620.1213461575271</v>
      </c>
      <c r="D18" s="28">
        <f t="shared" si="0"/>
        <v>2620.1213461575271</v>
      </c>
      <c r="E18" s="22"/>
    </row>
    <row r="19" spans="1:5" s="8" customFormat="1">
      <c r="A19" s="29" t="s">
        <v>59</v>
      </c>
      <c r="B19" s="30">
        <v>2210</v>
      </c>
      <c r="C19" s="32">
        <f>20000+20000</f>
        <v>40000</v>
      </c>
      <c r="D19" s="28">
        <f t="shared" si="0"/>
        <v>40000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37198.376418811065</v>
      </c>
      <c r="D21" s="28">
        <f t="shared" si="0"/>
        <v>37198.376418811065</v>
      </c>
      <c r="E21" s="22"/>
    </row>
    <row r="22" spans="1:5">
      <c r="A22" s="23" t="s">
        <v>61</v>
      </c>
      <c r="B22" s="24">
        <v>2240</v>
      </c>
      <c r="C22" s="35">
        <f>49999</f>
        <v>49999</v>
      </c>
      <c r="D22" s="28">
        <f t="shared" si="0"/>
        <v>49999</v>
      </c>
      <c r="E22" s="22"/>
    </row>
    <row r="23" spans="1:5">
      <c r="A23" s="23" t="s">
        <v>20</v>
      </c>
      <c r="B23" s="24">
        <v>2240</v>
      </c>
      <c r="C23" s="35">
        <v>0</v>
      </c>
      <c r="D23" s="28">
        <f t="shared" si="0"/>
        <v>0</v>
      </c>
      <c r="E23" s="22"/>
    </row>
    <row r="24" spans="1:5">
      <c r="A24" s="23" t="s">
        <v>62</v>
      </c>
      <c r="B24" s="24">
        <v>2240</v>
      </c>
      <c r="C24" s="35">
        <f>1964.71</f>
        <v>1964.71</v>
      </c>
      <c r="D24" s="28">
        <f t="shared" si="0"/>
        <v>1964.71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1147495.0816826569</v>
      </c>
      <c r="D25" s="28">
        <f t="shared" si="0"/>
        <v>1147495.0816826569</v>
      </c>
      <c r="E25" s="22"/>
    </row>
    <row r="26" spans="1:5">
      <c r="A26" s="25" t="s">
        <v>9</v>
      </c>
      <c r="B26" s="26">
        <v>2271</v>
      </c>
      <c r="C26" s="27">
        <v>1042084.4525004973</v>
      </c>
      <c r="D26" s="27">
        <f t="shared" si="0"/>
        <v>1042084.4525004973</v>
      </c>
      <c r="E26" s="22"/>
    </row>
    <row r="27" spans="1:5">
      <c r="A27" s="25" t="s">
        <v>10</v>
      </c>
      <c r="B27" s="26">
        <v>2272</v>
      </c>
      <c r="C27" s="27">
        <v>19232.729775815653</v>
      </c>
      <c r="D27" s="27">
        <f t="shared" si="0"/>
        <v>19232.729775815653</v>
      </c>
      <c r="E27" s="22"/>
    </row>
    <row r="28" spans="1:5">
      <c r="A28" s="25" t="s">
        <v>11</v>
      </c>
      <c r="B28" s="26">
        <v>2273</v>
      </c>
      <c r="C28" s="27">
        <v>82306.174531304772</v>
      </c>
      <c r="D28" s="27">
        <f t="shared" si="0"/>
        <v>82306.174531304772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3871.7248750390831</v>
      </c>
      <c r="D30" s="34">
        <f t="shared" si="0"/>
        <v>3871.7248750390831</v>
      </c>
      <c r="E30" s="22"/>
    </row>
    <row r="31" spans="1:5" s="11" customFormat="1">
      <c r="A31" s="23" t="s">
        <v>13</v>
      </c>
      <c r="B31" s="24">
        <v>2700</v>
      </c>
      <c r="C31" s="28">
        <f>C32</f>
        <v>7320</v>
      </c>
      <c r="D31" s="28">
        <f t="shared" si="0"/>
        <v>7320</v>
      </c>
      <c r="E31" s="22"/>
    </row>
    <row r="32" spans="1:5">
      <c r="A32" s="25" t="s">
        <v>14</v>
      </c>
      <c r="B32" s="26">
        <v>2730</v>
      </c>
      <c r="C32" s="27">
        <f>7320</f>
        <v>7320</v>
      </c>
      <c r="D32" s="27">
        <f t="shared" si="0"/>
        <v>7320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49900</v>
      </c>
      <c r="D33" s="28">
        <f t="shared" si="0"/>
        <v>49900</v>
      </c>
      <c r="E33" s="22"/>
    </row>
    <row r="34" spans="1:5">
      <c r="A34" s="25" t="s">
        <v>17</v>
      </c>
      <c r="B34" s="26">
        <v>3110</v>
      </c>
      <c r="C34" s="27">
        <v>49900</v>
      </c>
      <c r="D34" s="27">
        <f t="shared" si="0"/>
        <v>49900</v>
      </c>
      <c r="E34" s="22"/>
    </row>
    <row r="35" spans="1:5">
      <c r="A35" s="25" t="s">
        <v>18</v>
      </c>
      <c r="B35" s="26">
        <v>3130</v>
      </c>
      <c r="C35" s="27">
        <v>0</v>
      </c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70" zoomScaleSheetLayoutView="100" workbookViewId="0">
      <selection activeCell="E15" sqref="E15:E39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67.5" customHeight="1">
      <c r="A5" s="17" t="s">
        <v>23</v>
      </c>
      <c r="B5" s="37" t="s">
        <v>53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1637897.7845004981</v>
      </c>
      <c r="D15" s="28">
        <f>C15</f>
        <v>1637897.7845004981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1519497.3845004982</v>
      </c>
      <c r="D16" s="28">
        <f t="shared" ref="D16:D35" si="0">C16</f>
        <v>1519497.3845004982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1519497.3845004982</v>
      </c>
      <c r="D17" s="28">
        <f t="shared" si="0"/>
        <v>1519497.3845004982</v>
      </c>
      <c r="E17" s="22"/>
    </row>
    <row r="18" spans="1:5" s="12" customFormat="1">
      <c r="A18" s="29" t="s">
        <v>6</v>
      </c>
      <c r="B18" s="30">
        <v>2210</v>
      </c>
      <c r="C18" s="31">
        <v>2782.5675988567655</v>
      </c>
      <c r="D18" s="28">
        <f t="shared" si="0"/>
        <v>2782.5675988567655</v>
      </c>
      <c r="E18" s="22"/>
    </row>
    <row r="19" spans="1:5" s="8" customFormat="1">
      <c r="A19" s="29" t="s">
        <v>59</v>
      </c>
      <c r="B19" s="30">
        <v>2210</v>
      </c>
      <c r="C19" s="32">
        <f>15000+10000+9927+30000</f>
        <v>64927</v>
      </c>
      <c r="D19" s="28">
        <f t="shared" si="0"/>
        <v>64927</v>
      </c>
      <c r="E19" s="22"/>
    </row>
    <row r="20" spans="1:5" s="13" customFormat="1">
      <c r="A20" s="23" t="s">
        <v>60</v>
      </c>
      <c r="B20" s="24">
        <v>2210</v>
      </c>
      <c r="C20" s="32">
        <v>10000</v>
      </c>
      <c r="D20" s="28">
        <f t="shared" si="0"/>
        <v>10000</v>
      </c>
      <c r="E20" s="22"/>
    </row>
    <row r="21" spans="1:5" s="12" customFormat="1">
      <c r="A21" s="23" t="s">
        <v>7</v>
      </c>
      <c r="B21" s="24">
        <v>2240</v>
      </c>
      <c r="C21" s="28">
        <v>39504.657715512607</v>
      </c>
      <c r="D21" s="28">
        <f t="shared" si="0"/>
        <v>39504.657715512607</v>
      </c>
      <c r="E21" s="22"/>
    </row>
    <row r="22" spans="1:5">
      <c r="A22" s="23" t="s">
        <v>61</v>
      </c>
      <c r="B22" s="24">
        <v>2240</v>
      </c>
      <c r="C22" s="35">
        <f>20000</f>
        <v>20000</v>
      </c>
      <c r="D22" s="28">
        <f t="shared" si="0"/>
        <v>20000</v>
      </c>
      <c r="E22" s="22"/>
    </row>
    <row r="23" spans="1:5">
      <c r="A23" s="23" t="s">
        <v>20</v>
      </c>
      <c r="B23" s="24">
        <v>2240</v>
      </c>
      <c r="C23" s="35">
        <f>25171+49900+15235</f>
        <v>90306</v>
      </c>
      <c r="D23" s="28">
        <f t="shared" si="0"/>
        <v>90306</v>
      </c>
      <c r="E23" s="22"/>
    </row>
    <row r="24" spans="1:5">
      <c r="A24" s="23" t="s">
        <v>62</v>
      </c>
      <c r="B24" s="24">
        <v>2240</v>
      </c>
      <c r="C24" s="35">
        <f>2086.52</f>
        <v>2086.52</v>
      </c>
      <c r="D24" s="28">
        <f t="shared" si="0"/>
        <v>2086.52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1289890.6391861287</v>
      </c>
      <c r="D25" s="28">
        <f t="shared" si="0"/>
        <v>1289890.6391861287</v>
      </c>
      <c r="E25" s="22"/>
    </row>
    <row r="26" spans="1:5">
      <c r="A26" s="25" t="s">
        <v>9</v>
      </c>
      <c r="B26" s="26">
        <v>2271</v>
      </c>
      <c r="C26" s="27">
        <v>1108485.3920978927</v>
      </c>
      <c r="D26" s="27">
        <f t="shared" si="0"/>
        <v>1108485.3920978927</v>
      </c>
      <c r="E26" s="22"/>
    </row>
    <row r="27" spans="1:5">
      <c r="A27" s="25" t="s">
        <v>10</v>
      </c>
      <c r="B27" s="26">
        <v>2272</v>
      </c>
      <c r="C27" s="27">
        <v>22043.645057674865</v>
      </c>
      <c r="D27" s="27">
        <f t="shared" si="0"/>
        <v>22043.645057674865</v>
      </c>
      <c r="E27" s="22"/>
    </row>
    <row r="28" spans="1:5">
      <c r="A28" s="25" t="s">
        <v>11</v>
      </c>
      <c r="B28" s="26">
        <v>2273</v>
      </c>
      <c r="C28" s="27">
        <v>155700.51252263578</v>
      </c>
      <c r="D28" s="27">
        <f t="shared" si="0"/>
        <v>155700.51252263578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3661.0895079252846</v>
      </c>
      <c r="D30" s="34">
        <f t="shared" si="0"/>
        <v>3661.0895079252846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118400.4</v>
      </c>
      <c r="D33" s="28">
        <f t="shared" si="0"/>
        <v>118400.4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118400.4</v>
      </c>
      <c r="D35" s="27">
        <f t="shared" si="0"/>
        <v>118400.4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80" zoomScaleSheetLayoutView="100" workbookViewId="0">
      <selection activeCell="E15" sqref="E15:E3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63.75" customHeight="1">
      <c r="A5" s="17" t="s">
        <v>23</v>
      </c>
      <c r="B5" s="37" t="s">
        <v>54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1923490.4901640776</v>
      </c>
      <c r="D15" s="28">
        <f>C15</f>
        <v>1923490.4901640776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1523490.4901640776</v>
      </c>
      <c r="D16" s="28">
        <f t="shared" ref="D16:D35" si="0">C16</f>
        <v>1523490.4901640776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1512510.4901640776</v>
      </c>
      <c r="D17" s="28">
        <f t="shared" si="0"/>
        <v>1512510.4901640776</v>
      </c>
      <c r="E17" s="22"/>
    </row>
    <row r="18" spans="1:5" s="12" customFormat="1">
      <c r="A18" s="29" t="s">
        <v>6</v>
      </c>
      <c r="B18" s="30">
        <v>2210</v>
      </c>
      <c r="C18" s="31">
        <v>3287.4323006524196</v>
      </c>
      <c r="D18" s="31">
        <f t="shared" si="0"/>
        <v>3287.4323006524196</v>
      </c>
      <c r="E18" s="22"/>
    </row>
    <row r="19" spans="1:5" s="8" customFormat="1">
      <c r="A19" s="29" t="s">
        <v>59</v>
      </c>
      <c r="B19" s="30">
        <v>2210</v>
      </c>
      <c r="C19" s="32">
        <f>3550</f>
        <v>3550</v>
      </c>
      <c r="D19" s="32">
        <f t="shared" si="0"/>
        <v>3550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32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46672.320864208792</v>
      </c>
      <c r="D21" s="28">
        <f t="shared" si="0"/>
        <v>46672.320864208792</v>
      </c>
      <c r="E21" s="22"/>
    </row>
    <row r="22" spans="1:5">
      <c r="A22" s="23" t="s">
        <v>61</v>
      </c>
      <c r="B22" s="24">
        <v>2240</v>
      </c>
      <c r="C22" s="35">
        <f>42999</f>
        <v>42999</v>
      </c>
      <c r="D22" s="35">
        <f t="shared" si="0"/>
        <v>42999</v>
      </c>
      <c r="E22" s="22"/>
    </row>
    <row r="23" spans="1:5">
      <c r="A23" s="23" t="s">
        <v>20</v>
      </c>
      <c r="B23" s="24">
        <v>2240</v>
      </c>
      <c r="C23" s="35">
        <f>48147</f>
        <v>48147</v>
      </c>
      <c r="D23" s="35">
        <f t="shared" si="0"/>
        <v>48147</v>
      </c>
      <c r="E23" s="22"/>
    </row>
    <row r="24" spans="1:5">
      <c r="A24" s="23" t="s">
        <v>62</v>
      </c>
      <c r="B24" s="24">
        <v>2240</v>
      </c>
      <c r="C24" s="35">
        <f>2465.1</f>
        <v>2465.1</v>
      </c>
      <c r="D24" s="35">
        <f t="shared" si="0"/>
        <v>2465.1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1365389.6369992164</v>
      </c>
      <c r="D25" s="28">
        <f t="shared" si="0"/>
        <v>1365389.6369992164</v>
      </c>
      <c r="E25" s="22"/>
    </row>
    <row r="26" spans="1:5">
      <c r="A26" s="25" t="s">
        <v>9</v>
      </c>
      <c r="B26" s="26">
        <v>2271</v>
      </c>
      <c r="C26" s="27">
        <v>907908.6280004353</v>
      </c>
      <c r="D26" s="27">
        <f t="shared" si="0"/>
        <v>907908.6280004353</v>
      </c>
      <c r="E26" s="22"/>
    </row>
    <row r="27" spans="1:5">
      <c r="A27" s="25" t="s">
        <v>10</v>
      </c>
      <c r="B27" s="26">
        <v>2272</v>
      </c>
      <c r="C27" s="27">
        <v>40016.944007358543</v>
      </c>
      <c r="D27" s="27">
        <f t="shared" si="0"/>
        <v>40016.944007358543</v>
      </c>
      <c r="E27" s="22"/>
    </row>
    <row r="28" spans="1:5">
      <c r="A28" s="25" t="s">
        <v>11</v>
      </c>
      <c r="B28" s="26">
        <v>2273</v>
      </c>
      <c r="C28" s="27">
        <v>411273.08197967696</v>
      </c>
      <c r="D28" s="27">
        <f t="shared" si="0"/>
        <v>411273.08197967696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6190.9830117456204</v>
      </c>
      <c r="D30" s="34">
        <f t="shared" si="0"/>
        <v>6190.9830117456204</v>
      </c>
      <c r="E30" s="22"/>
    </row>
    <row r="31" spans="1:5" s="11" customFormat="1">
      <c r="A31" s="23" t="s">
        <v>13</v>
      </c>
      <c r="B31" s="24">
        <v>2700</v>
      </c>
      <c r="C31" s="28">
        <f>C32</f>
        <v>10980</v>
      </c>
      <c r="D31" s="28">
        <f t="shared" si="0"/>
        <v>10980</v>
      </c>
      <c r="E31" s="22"/>
    </row>
    <row r="32" spans="1:5">
      <c r="A32" s="25" t="s">
        <v>14</v>
      </c>
      <c r="B32" s="26">
        <v>2730</v>
      </c>
      <c r="C32" s="27">
        <f>10980</f>
        <v>10980</v>
      </c>
      <c r="D32" s="27">
        <f t="shared" si="0"/>
        <v>10980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400000</v>
      </c>
      <c r="D33" s="28">
        <f t="shared" si="0"/>
        <v>400000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400000</v>
      </c>
      <c r="D35" s="27">
        <f t="shared" si="0"/>
        <v>400000</v>
      </c>
      <c r="E35" s="22"/>
    </row>
    <row r="36" spans="1:5" ht="18">
      <c r="A36" s="5"/>
      <c r="C36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80" zoomScaleSheetLayoutView="100" workbookViewId="0">
      <selection activeCell="E15" sqref="E15:E36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63.75" customHeight="1">
      <c r="A5" s="17" t="s">
        <v>23</v>
      </c>
      <c r="B5" s="37" t="s">
        <v>55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1869106.1783512323</v>
      </c>
      <c r="D15" s="28">
        <f>C15</f>
        <v>1869106.1783512323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1869106.1783512323</v>
      </c>
      <c r="D16" s="28">
        <f t="shared" ref="D16:D35" si="0">C16</f>
        <v>1869106.1783512323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1869106.1783512323</v>
      </c>
      <c r="D17" s="28">
        <f t="shared" si="0"/>
        <v>1869106.1783512323</v>
      </c>
      <c r="E17" s="22"/>
    </row>
    <row r="18" spans="1:5" s="12" customFormat="1">
      <c r="A18" s="29" t="s">
        <v>6</v>
      </c>
      <c r="B18" s="30">
        <v>2210</v>
      </c>
      <c r="C18" s="31">
        <v>1807.3430611027425</v>
      </c>
      <c r="D18" s="28">
        <f t="shared" si="0"/>
        <v>1807.3430611027425</v>
      </c>
      <c r="E18" s="22"/>
    </row>
    <row r="19" spans="1:5" s="8" customFormat="1">
      <c r="A19" s="29" t="s">
        <v>59</v>
      </c>
      <c r="B19" s="30">
        <v>2210</v>
      </c>
      <c r="C19" s="32">
        <f>22000+12000</f>
        <v>34000</v>
      </c>
      <c r="D19" s="28">
        <f t="shared" si="0"/>
        <v>34000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25659.203762993977</v>
      </c>
      <c r="D21" s="28">
        <f t="shared" si="0"/>
        <v>25659.203762993977</v>
      </c>
      <c r="E21" s="22"/>
    </row>
    <row r="22" spans="1:5">
      <c r="A22" s="23" t="s">
        <v>61</v>
      </c>
      <c r="B22" s="24">
        <v>2240</v>
      </c>
      <c r="C22" s="35">
        <f>45007.16+4992.84+7000</f>
        <v>57000</v>
      </c>
      <c r="D22" s="28">
        <f t="shared" si="0"/>
        <v>57000</v>
      </c>
      <c r="E22" s="22"/>
    </row>
    <row r="23" spans="1:5">
      <c r="A23" s="23" t="s">
        <v>20</v>
      </c>
      <c r="B23" s="24">
        <v>2240</v>
      </c>
      <c r="C23" s="35">
        <f>8901+7196</f>
        <v>16097</v>
      </c>
      <c r="D23" s="28">
        <f t="shared" si="0"/>
        <v>16097</v>
      </c>
      <c r="E23" s="22"/>
    </row>
    <row r="24" spans="1:5">
      <c r="A24" s="23" t="s">
        <v>62</v>
      </c>
      <c r="B24" s="24">
        <v>2240</v>
      </c>
      <c r="C24" s="35">
        <f>1355.24</f>
        <v>1355.24</v>
      </c>
      <c r="D24" s="28">
        <f t="shared" si="0"/>
        <v>1355.24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1733187.3915271356</v>
      </c>
      <c r="D25" s="28">
        <f t="shared" si="0"/>
        <v>1733187.3915271356</v>
      </c>
      <c r="E25" s="22"/>
    </row>
    <row r="26" spans="1:5">
      <c r="A26" s="25" t="s">
        <v>9</v>
      </c>
      <c r="B26" s="26">
        <v>2271</v>
      </c>
      <c r="C26" s="27">
        <v>1357507.569244812</v>
      </c>
      <c r="D26" s="27">
        <f t="shared" si="0"/>
        <v>1357507.569244812</v>
      </c>
      <c r="E26" s="22"/>
    </row>
    <row r="27" spans="1:5">
      <c r="A27" s="25" t="s">
        <v>10</v>
      </c>
      <c r="B27" s="26">
        <v>2272</v>
      </c>
      <c r="C27" s="27">
        <v>55939.342489512601</v>
      </c>
      <c r="D27" s="27">
        <f t="shared" si="0"/>
        <v>55939.342489512601</v>
      </c>
      <c r="E27" s="22"/>
    </row>
    <row r="28" spans="1:5">
      <c r="A28" s="25" t="s">
        <v>11</v>
      </c>
      <c r="B28" s="26">
        <v>2273</v>
      </c>
      <c r="C28" s="27">
        <v>312667.9646374961</v>
      </c>
      <c r="D28" s="27">
        <f t="shared" si="0"/>
        <v>312667.9646374961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7072.5151553150026</v>
      </c>
      <c r="D30" s="34">
        <f t="shared" si="0"/>
        <v>7072.5151553150026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0</v>
      </c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38" spans="1:5" ht="15" customHeight="1">
      <c r="C38" s="20"/>
      <c r="D38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80" zoomScaleSheetLayoutView="100" workbookViewId="0">
      <selection activeCell="E15" sqref="E15:E3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63.75" customHeight="1">
      <c r="A5" s="17" t="s">
        <v>23</v>
      </c>
      <c r="B5" s="37" t="s">
        <v>35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1569599.8836387817</v>
      </c>
      <c r="D15" s="28">
        <f>C15</f>
        <v>1569599.8836387817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1569599.8836387817</v>
      </c>
      <c r="D16" s="28">
        <f t="shared" ref="D16:D34" si="0">C16</f>
        <v>1569599.8836387817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1569599.8836387817</v>
      </c>
      <c r="D17" s="28">
        <f t="shared" si="0"/>
        <v>1569599.8836387817</v>
      </c>
      <c r="E17" s="22"/>
    </row>
    <row r="18" spans="1:5" s="12" customFormat="1">
      <c r="A18" s="29" t="s">
        <v>6</v>
      </c>
      <c r="B18" s="30">
        <v>2210</v>
      </c>
      <c r="C18" s="31">
        <v>3236.089497259336</v>
      </c>
      <c r="D18" s="28">
        <f t="shared" si="0"/>
        <v>3236.089497259336</v>
      </c>
      <c r="E18" s="22"/>
    </row>
    <row r="19" spans="1:5" s="8" customFormat="1">
      <c r="A19" s="29" t="s">
        <v>59</v>
      </c>
      <c r="B19" s="30">
        <v>2210</v>
      </c>
      <c r="C19" s="32">
        <f>30100</f>
        <v>30100</v>
      </c>
      <c r="D19" s="28">
        <f t="shared" si="0"/>
        <v>30100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45943.397018825141</v>
      </c>
      <c r="D21" s="28">
        <f t="shared" si="0"/>
        <v>45943.397018825141</v>
      </c>
      <c r="E21" s="22"/>
    </row>
    <row r="22" spans="1:5">
      <c r="A22" s="23" t="s">
        <v>61</v>
      </c>
      <c r="B22" s="24">
        <v>2240</v>
      </c>
      <c r="C22" s="35">
        <f>20000+40000+40000+22000+9900+20000+49000</f>
        <v>200900</v>
      </c>
      <c r="D22" s="28">
        <f t="shared" si="0"/>
        <v>200900</v>
      </c>
      <c r="E22" s="22"/>
    </row>
    <row r="23" spans="1:5">
      <c r="A23" s="23" t="s">
        <v>20</v>
      </c>
      <c r="B23" s="24">
        <v>2240</v>
      </c>
      <c r="C23" s="35">
        <v>0</v>
      </c>
      <c r="D23" s="28">
        <f t="shared" si="0"/>
        <v>0</v>
      </c>
      <c r="E23" s="22"/>
    </row>
    <row r="24" spans="1:5">
      <c r="A24" s="23" t="s">
        <v>62</v>
      </c>
      <c r="B24" s="24">
        <v>2240</v>
      </c>
      <c r="C24" s="35">
        <f>2426.6</f>
        <v>2426.6</v>
      </c>
      <c r="D24" s="28">
        <f t="shared" si="0"/>
        <v>2426.6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1286993.7971226973</v>
      </c>
      <c r="D25" s="28">
        <f t="shared" si="0"/>
        <v>1286993.7971226973</v>
      </c>
      <c r="E25" s="22"/>
    </row>
    <row r="26" spans="1:5">
      <c r="A26" s="25" t="s">
        <v>9</v>
      </c>
      <c r="B26" s="26">
        <v>2271</v>
      </c>
      <c r="C26" s="27">
        <v>1068061.4662313687</v>
      </c>
      <c r="D26" s="27">
        <f t="shared" si="0"/>
        <v>1068061.4662313687</v>
      </c>
      <c r="E26" s="22"/>
    </row>
    <row r="27" spans="1:5">
      <c r="A27" s="25" t="s">
        <v>10</v>
      </c>
      <c r="B27" s="26">
        <v>2272</v>
      </c>
      <c r="C27" s="27">
        <v>23148.357957680724</v>
      </c>
      <c r="D27" s="27">
        <f t="shared" si="0"/>
        <v>23148.357957680724</v>
      </c>
      <c r="E27" s="22"/>
    </row>
    <row r="28" spans="1:5">
      <c r="A28" s="25" t="s">
        <v>11</v>
      </c>
      <c r="B28" s="26">
        <v>2273</v>
      </c>
      <c r="C28" s="27">
        <v>188715.22700298831</v>
      </c>
      <c r="D28" s="27">
        <f t="shared" si="0"/>
        <v>188715.22700298831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7068.7459306596065</v>
      </c>
      <c r="D30" s="34">
        <f t="shared" si="0"/>
        <v>7068.7459306596065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0</v>
      </c>
      <c r="D35" s="27">
        <f>C35</f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80" zoomScaleSheetLayoutView="100" workbookViewId="0">
      <selection activeCell="E15" sqref="E15:E35"/>
    </sheetView>
  </sheetViews>
  <sheetFormatPr defaultColWidth="14.42578125" defaultRowHeight="15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52.5" customHeight="1">
      <c r="A5" s="17" t="s">
        <v>23</v>
      </c>
      <c r="B5" s="37" t="s">
        <v>42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1559211.1928290718</v>
      </c>
      <c r="D15" s="28">
        <f>C15</f>
        <v>1559211.1928290718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1559211.1928290718</v>
      </c>
      <c r="D16" s="28">
        <f t="shared" ref="D16:D35" si="0">C16</f>
        <v>1559211.1928290718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1559211.1928290718</v>
      </c>
      <c r="D17" s="28">
        <f t="shared" si="0"/>
        <v>1559211.1928290718</v>
      </c>
      <c r="E17" s="22"/>
    </row>
    <row r="18" spans="1:5" s="12" customFormat="1">
      <c r="A18" s="29" t="s">
        <v>6</v>
      </c>
      <c r="B18" s="30">
        <v>2210</v>
      </c>
      <c r="C18" s="31">
        <v>2761.3011502908644</v>
      </c>
      <c r="D18" s="31">
        <f t="shared" si="0"/>
        <v>2761.3011502908644</v>
      </c>
      <c r="E18" s="22"/>
    </row>
    <row r="19" spans="1:5" s="8" customFormat="1">
      <c r="A19" s="29" t="s">
        <v>59</v>
      </c>
      <c r="B19" s="30">
        <v>2210</v>
      </c>
      <c r="C19" s="32">
        <f>12990+10000+15000</f>
        <v>37990</v>
      </c>
      <c r="D19" s="32">
        <f t="shared" si="0"/>
        <v>37990</v>
      </c>
      <c r="E19" s="22"/>
    </row>
    <row r="20" spans="1:5" s="13" customFormat="1">
      <c r="A20" s="23" t="s">
        <v>60</v>
      </c>
      <c r="B20" s="24">
        <v>2210</v>
      </c>
      <c r="C20" s="28">
        <v>0</v>
      </c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39202.733775995148</v>
      </c>
      <c r="D21" s="28">
        <f t="shared" si="0"/>
        <v>39202.733775995148</v>
      </c>
      <c r="E21" s="22"/>
    </row>
    <row r="22" spans="1:5">
      <c r="A22" s="23" t="s">
        <v>61</v>
      </c>
      <c r="B22" s="24">
        <v>2240</v>
      </c>
      <c r="C22" s="35">
        <f>57000+20000</f>
        <v>77000</v>
      </c>
      <c r="D22" s="35">
        <f t="shared" si="0"/>
        <v>77000</v>
      </c>
      <c r="E22" s="22"/>
    </row>
    <row r="23" spans="1:5">
      <c r="A23" s="23" t="s">
        <v>20</v>
      </c>
      <c r="B23" s="24">
        <v>2240</v>
      </c>
      <c r="C23" s="35">
        <f>30000</f>
        <v>30000</v>
      </c>
      <c r="D23" s="35">
        <f t="shared" si="0"/>
        <v>30000</v>
      </c>
      <c r="E23" s="22"/>
    </row>
    <row r="24" spans="1:5">
      <c r="A24" s="23" t="s">
        <v>62</v>
      </c>
      <c r="B24" s="24">
        <v>2240</v>
      </c>
      <c r="C24" s="35">
        <f>49559+49196+2070.58</f>
        <v>100825.58</v>
      </c>
      <c r="D24" s="35">
        <f t="shared" si="0"/>
        <v>100825.58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1271431.5779027857</v>
      </c>
      <c r="D25" s="28">
        <f t="shared" si="0"/>
        <v>1271431.5779027857</v>
      </c>
      <c r="E25" s="22"/>
    </row>
    <row r="26" spans="1:5">
      <c r="A26" s="25" t="s">
        <v>9</v>
      </c>
      <c r="B26" s="26">
        <v>2271</v>
      </c>
      <c r="C26" s="27">
        <v>1124197.5698725868</v>
      </c>
      <c r="D26" s="27">
        <f t="shared" si="0"/>
        <v>1124197.5698725868</v>
      </c>
      <c r="E26" s="22"/>
    </row>
    <row r="27" spans="1:5">
      <c r="A27" s="25" t="s">
        <v>10</v>
      </c>
      <c r="B27" s="26">
        <v>2272</v>
      </c>
      <c r="C27" s="27">
        <v>22949.632871871261</v>
      </c>
      <c r="D27" s="27">
        <f t="shared" si="0"/>
        <v>22949.632871871261</v>
      </c>
      <c r="E27" s="22"/>
    </row>
    <row r="28" spans="1:5">
      <c r="A28" s="25" t="s">
        <v>11</v>
      </c>
      <c r="B28" s="26">
        <v>2273</v>
      </c>
      <c r="C28" s="27">
        <v>116230.68922507451</v>
      </c>
      <c r="D28" s="27">
        <f t="shared" si="0"/>
        <v>116230.68922507451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8053.6859332531376</v>
      </c>
      <c r="D30" s="34">
        <f t="shared" si="0"/>
        <v>8053.6859332531376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 ht="15.75" thickBot="1">
      <c r="A35" s="6" t="s">
        <v>18</v>
      </c>
      <c r="B35" s="4">
        <v>3130</v>
      </c>
      <c r="C35" s="27">
        <v>0</v>
      </c>
      <c r="D35" s="27">
        <f t="shared" si="0"/>
        <v>0</v>
      </c>
      <c r="E35" s="22"/>
    </row>
    <row r="36" spans="1:5" ht="18">
      <c r="A36" s="5"/>
      <c r="C36" s="20"/>
      <c r="D36" s="20"/>
    </row>
    <row r="37" spans="1:5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9" fitToHeight="1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80" zoomScaleSheetLayoutView="100" workbookViewId="0">
      <selection activeCell="E15" sqref="E15:E37"/>
    </sheetView>
  </sheetViews>
  <sheetFormatPr defaultColWidth="14.42578125" defaultRowHeight="15" customHeight="1"/>
  <cols>
    <col min="1" max="1" width="57.85546875" style="19" customWidth="1"/>
    <col min="2" max="2" width="10.85546875" style="19" customWidth="1"/>
    <col min="3" max="4" width="17.42578125" style="19" customWidth="1"/>
    <col min="5" max="16384" width="14.42578125" style="19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63.75" customHeight="1">
      <c r="A5" s="17" t="s">
        <v>23</v>
      </c>
      <c r="B5" s="37" t="s">
        <v>56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1477312.6224655984</v>
      </c>
      <c r="D15" s="28">
        <f>C15</f>
        <v>1477312.6224655984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1477312.6224655984</v>
      </c>
      <c r="D16" s="28">
        <f t="shared" ref="D16:D35" si="0">C16</f>
        <v>1477312.6224655984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1477312.6224655984</v>
      </c>
      <c r="D17" s="28">
        <f t="shared" si="0"/>
        <v>1477312.6224655984</v>
      </c>
      <c r="E17" s="22"/>
    </row>
    <row r="18" spans="1:5" s="12" customFormat="1">
      <c r="A18" s="29" t="s">
        <v>6</v>
      </c>
      <c r="B18" s="30">
        <v>2210</v>
      </c>
      <c r="C18" s="31">
        <v>908.44079948263163</v>
      </c>
      <c r="D18" s="28">
        <f t="shared" si="0"/>
        <v>908.44079948263163</v>
      </c>
      <c r="E18" s="22"/>
    </row>
    <row r="19" spans="1:5" s="8" customFormat="1">
      <c r="A19" s="29" t="s">
        <v>59</v>
      </c>
      <c r="B19" s="30">
        <v>2210</v>
      </c>
      <c r="C19" s="32">
        <f>15000+15000+22000+19998.72</f>
        <v>71998.720000000001</v>
      </c>
      <c r="D19" s="28">
        <f t="shared" si="0"/>
        <v>71998.720000000001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12897.312127515837</v>
      </c>
      <c r="D21" s="28">
        <f t="shared" si="0"/>
        <v>12897.312127515837</v>
      </c>
      <c r="E21" s="22"/>
    </row>
    <row r="22" spans="1:5">
      <c r="A22" s="23" t="s">
        <v>61</v>
      </c>
      <c r="B22" s="24">
        <v>2240</v>
      </c>
      <c r="C22" s="35">
        <f>20000</f>
        <v>20000</v>
      </c>
      <c r="D22" s="28">
        <f t="shared" si="0"/>
        <v>20000</v>
      </c>
      <c r="E22" s="22"/>
    </row>
    <row r="23" spans="1:5">
      <c r="A23" s="23" t="s">
        <v>20</v>
      </c>
      <c r="B23" s="24">
        <v>2240</v>
      </c>
      <c r="C23" s="35">
        <f>24998+25000+28529+30000</f>
        <v>108527</v>
      </c>
      <c r="D23" s="28">
        <f t="shared" si="0"/>
        <v>108527</v>
      </c>
      <c r="E23" s="22"/>
    </row>
    <row r="24" spans="1:5">
      <c r="A24" s="23" t="s">
        <v>62</v>
      </c>
      <c r="B24" s="24">
        <v>2240</v>
      </c>
      <c r="C24" s="35">
        <f>8091+681.2</f>
        <v>8772.2000000000007</v>
      </c>
      <c r="D24" s="28">
        <f t="shared" si="0"/>
        <v>8772.2000000000007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1254208.9495385999</v>
      </c>
      <c r="D25" s="28">
        <f t="shared" si="0"/>
        <v>1254208.9495385999</v>
      </c>
      <c r="E25" s="22"/>
    </row>
    <row r="26" spans="1:5">
      <c r="A26" s="25" t="s">
        <v>9</v>
      </c>
      <c r="B26" s="26">
        <v>2271</v>
      </c>
      <c r="C26" s="27">
        <v>817035.03896310169</v>
      </c>
      <c r="D26" s="27">
        <f t="shared" si="0"/>
        <v>817035.03896310169</v>
      </c>
      <c r="E26" s="22"/>
    </row>
    <row r="27" spans="1:5">
      <c r="A27" s="25" t="s">
        <v>10</v>
      </c>
      <c r="B27" s="26">
        <v>2272</v>
      </c>
      <c r="C27" s="27">
        <v>67660.732211628783</v>
      </c>
      <c r="D27" s="27">
        <f t="shared" si="0"/>
        <v>67660.732211628783</v>
      </c>
      <c r="E27" s="22"/>
    </row>
    <row r="28" spans="1:5">
      <c r="A28" s="25" t="s">
        <v>11</v>
      </c>
      <c r="B28" s="26">
        <v>2273</v>
      </c>
      <c r="C28" s="27">
        <v>363382.74246255826</v>
      </c>
      <c r="D28" s="27">
        <f t="shared" si="0"/>
        <v>363382.74246255826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6130.4359013112689</v>
      </c>
      <c r="D30" s="34">
        <f t="shared" si="0"/>
        <v>6130.4359013112689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 ht="15.75" thickBot="1">
      <c r="A35" s="6" t="s">
        <v>18</v>
      </c>
      <c r="B35" s="4">
        <v>3130</v>
      </c>
      <c r="C35" s="14">
        <v>0</v>
      </c>
      <c r="D35" s="14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80" zoomScaleSheetLayoutView="100" workbookViewId="0">
      <selection activeCell="E14" sqref="E14:E38"/>
    </sheetView>
  </sheetViews>
  <sheetFormatPr defaultColWidth="14.42578125" defaultRowHeight="15" customHeight="1"/>
  <cols>
    <col min="1" max="1" width="57.85546875" style="19" customWidth="1"/>
    <col min="2" max="2" width="10.85546875" style="19" customWidth="1"/>
    <col min="3" max="4" width="17.42578125" style="19" customWidth="1"/>
    <col min="5" max="16384" width="14.42578125" style="19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63.75" customHeight="1">
      <c r="A5" s="17" t="s">
        <v>23</v>
      </c>
      <c r="B5" s="37" t="s">
        <v>57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1407882.8140908375</v>
      </c>
      <c r="D15" s="28">
        <f>C15</f>
        <v>1407882.8140908375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1370182.8140908375</v>
      </c>
      <c r="D16" s="28">
        <f t="shared" ref="D16:D35" si="0">C16</f>
        <v>1370182.8140908375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1333582.8140908375</v>
      </c>
      <c r="D17" s="28">
        <f t="shared" si="0"/>
        <v>1333582.8140908375</v>
      </c>
      <c r="E17" s="22"/>
    </row>
    <row r="18" spans="1:5" s="12" customFormat="1">
      <c r="A18" s="29" t="s">
        <v>6</v>
      </c>
      <c r="B18" s="30">
        <v>2210</v>
      </c>
      <c r="C18" s="31">
        <v>1601.3257610895059</v>
      </c>
      <c r="D18" s="28">
        <f t="shared" si="0"/>
        <v>1601.3257610895059</v>
      </c>
      <c r="E18" s="22"/>
    </row>
    <row r="19" spans="1:5" s="8" customFormat="1">
      <c r="A19" s="29" t="s">
        <v>59</v>
      </c>
      <c r="B19" s="30">
        <v>2210</v>
      </c>
      <c r="C19" s="32">
        <f>15000</f>
        <v>15000</v>
      </c>
      <c r="D19" s="28">
        <f t="shared" si="0"/>
        <v>15000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101086.82+114584.16+25961.16+1905+22734.33</f>
        <v>266271.47000000003</v>
      </c>
      <c r="D21" s="28">
        <f t="shared" si="0"/>
        <v>266271.47000000003</v>
      </c>
      <c r="E21" s="22"/>
    </row>
    <row r="22" spans="1:5">
      <c r="A22" s="23" t="s">
        <v>61</v>
      </c>
      <c r="B22" s="24">
        <v>2240</v>
      </c>
      <c r="C22" s="35">
        <v>0</v>
      </c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>
        <v>0</v>
      </c>
      <c r="D23" s="28">
        <f t="shared" si="0"/>
        <v>0</v>
      </c>
      <c r="E23" s="22"/>
    </row>
    <row r="24" spans="1:5">
      <c r="A24" s="23" t="s">
        <v>62</v>
      </c>
      <c r="B24" s="24">
        <v>2240</v>
      </c>
      <c r="C24" s="35">
        <f>1200.76</f>
        <v>1200.76</v>
      </c>
      <c r="D24" s="28">
        <f t="shared" si="0"/>
        <v>1200.76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1049509.2583297479</v>
      </c>
      <c r="D25" s="28">
        <f t="shared" si="0"/>
        <v>1049509.2583297479</v>
      </c>
      <c r="E25" s="22"/>
    </row>
    <row r="26" spans="1:5">
      <c r="A26" s="25" t="s">
        <v>9</v>
      </c>
      <c r="B26" s="26">
        <v>2271</v>
      </c>
      <c r="C26" s="27">
        <v>38833.230742422646</v>
      </c>
      <c r="D26" s="27">
        <f t="shared" si="0"/>
        <v>38833.230742422646</v>
      </c>
      <c r="E26" s="22"/>
    </row>
    <row r="27" spans="1:5">
      <c r="A27" s="25" t="s">
        <v>10</v>
      </c>
      <c r="B27" s="26">
        <v>2272</v>
      </c>
      <c r="C27" s="27">
        <v>27560.980479460995</v>
      </c>
      <c r="D27" s="27">
        <f t="shared" si="0"/>
        <v>27560.980479460995</v>
      </c>
      <c r="E27" s="22"/>
    </row>
    <row r="28" spans="1:5">
      <c r="A28" s="25" t="s">
        <v>11</v>
      </c>
      <c r="B28" s="26">
        <v>2273</v>
      </c>
      <c r="C28" s="27">
        <v>300923.2053072417</v>
      </c>
      <c r="D28" s="27">
        <f t="shared" si="0"/>
        <v>300923.2053072417</v>
      </c>
      <c r="E28" s="22"/>
    </row>
    <row r="29" spans="1:5">
      <c r="A29" s="25" t="s">
        <v>12</v>
      </c>
      <c r="B29" s="26">
        <v>2274</v>
      </c>
      <c r="C29" s="27">
        <v>675162.2</v>
      </c>
      <c r="D29" s="27">
        <f t="shared" si="0"/>
        <v>675162.2</v>
      </c>
      <c r="E29" s="22"/>
    </row>
    <row r="30" spans="1:5">
      <c r="A30" s="25" t="s">
        <v>8</v>
      </c>
      <c r="B30" s="26">
        <v>2275</v>
      </c>
      <c r="C30" s="34">
        <v>7029.6418006226804</v>
      </c>
      <c r="D30" s="34">
        <f t="shared" si="0"/>
        <v>7029.6418006226804</v>
      </c>
      <c r="E30" s="22"/>
    </row>
    <row r="31" spans="1:5" s="11" customFormat="1">
      <c r="A31" s="23" t="s">
        <v>13</v>
      </c>
      <c r="B31" s="24">
        <v>2700</v>
      </c>
      <c r="C31" s="28">
        <f>C32</f>
        <v>36600</v>
      </c>
      <c r="D31" s="28">
        <f t="shared" si="0"/>
        <v>36600</v>
      </c>
      <c r="E31" s="22"/>
    </row>
    <row r="32" spans="1:5">
      <c r="A32" s="25" t="s">
        <v>14</v>
      </c>
      <c r="B32" s="26">
        <v>2730</v>
      </c>
      <c r="C32" s="27">
        <f>36600</f>
        <v>36600</v>
      </c>
      <c r="D32" s="27">
        <f t="shared" si="0"/>
        <v>36600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37700</v>
      </c>
      <c r="D33" s="28">
        <f t="shared" si="0"/>
        <v>37700</v>
      </c>
      <c r="E33" s="22"/>
    </row>
    <row r="34" spans="1:5">
      <c r="A34" s="25" t="s">
        <v>17</v>
      </c>
      <c r="B34" s="26">
        <v>3110</v>
      </c>
      <c r="C34" s="27">
        <v>37700</v>
      </c>
      <c r="D34" s="27">
        <f t="shared" si="0"/>
        <v>37700</v>
      </c>
      <c r="E34" s="22"/>
    </row>
    <row r="35" spans="1:5">
      <c r="A35" s="25" t="s">
        <v>18</v>
      </c>
      <c r="B35" s="26">
        <v>3130</v>
      </c>
      <c r="C35" s="27">
        <v>0</v>
      </c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80" zoomScaleSheetLayoutView="100" workbookViewId="0">
      <selection activeCell="E14" sqref="E14:E35"/>
    </sheetView>
  </sheetViews>
  <sheetFormatPr defaultColWidth="14.42578125" defaultRowHeight="15" customHeight="1"/>
  <cols>
    <col min="1" max="1" width="57.85546875" style="19" customWidth="1"/>
    <col min="2" max="2" width="10.85546875" style="19" customWidth="1"/>
    <col min="3" max="4" width="17.42578125" style="19" customWidth="1"/>
    <col min="5" max="16384" width="14.42578125" style="19"/>
  </cols>
  <sheetData>
    <row r="1" spans="1:5">
      <c r="A1" s="40" t="s">
        <v>0</v>
      </c>
      <c r="B1" s="40"/>
      <c r="C1" s="40"/>
      <c r="D1" s="40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63.75" customHeight="1">
      <c r="A5" s="17" t="s">
        <v>23</v>
      </c>
      <c r="B5" s="37" t="s">
        <v>58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995864.04877616314</v>
      </c>
      <c r="D15" s="28">
        <f>C15</f>
        <v>995864.04877616314</v>
      </c>
      <c r="E15" s="22"/>
    </row>
    <row r="16" spans="1:5" s="9" customFormat="1" ht="24">
      <c r="A16" s="26" t="s">
        <v>19</v>
      </c>
      <c r="B16" s="24">
        <v>2000</v>
      </c>
      <c r="C16" s="28">
        <f>C17</f>
        <v>965864.04877616314</v>
      </c>
      <c r="D16" s="28">
        <f t="shared" ref="D16:D35" si="0">C16</f>
        <v>965864.04877616314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965864.04877616314</v>
      </c>
      <c r="D17" s="28">
        <f t="shared" si="0"/>
        <v>965864.04877616314</v>
      </c>
      <c r="E17" s="22"/>
    </row>
    <row r="18" spans="1:5" s="12" customFormat="1">
      <c r="A18" s="29" t="s">
        <v>6</v>
      </c>
      <c r="B18" s="30">
        <v>2210</v>
      </c>
      <c r="C18" s="31">
        <v>411.70930238128784</v>
      </c>
      <c r="D18" s="28">
        <f t="shared" si="0"/>
        <v>411.70930238128784</v>
      </c>
      <c r="E18" s="22"/>
    </row>
    <row r="19" spans="1:5" s="8" customFormat="1">
      <c r="A19" s="29" t="s">
        <v>59</v>
      </c>
      <c r="B19" s="30">
        <v>2210</v>
      </c>
      <c r="C19" s="32">
        <f>49000+20000+29938.88+13000+49170.88</f>
        <v>161109.76000000001</v>
      </c>
      <c r="D19" s="28">
        <f t="shared" si="0"/>
        <v>161109.76000000001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5845.1176803566595</v>
      </c>
      <c r="D21" s="28">
        <f t="shared" si="0"/>
        <v>5845.1176803566595</v>
      </c>
      <c r="E21" s="22"/>
    </row>
    <row r="22" spans="1:5">
      <c r="A22" s="23" t="s">
        <v>61</v>
      </c>
      <c r="B22" s="24">
        <v>2240</v>
      </c>
      <c r="C22" s="35">
        <f>49999+46999.98</f>
        <v>96998.98000000001</v>
      </c>
      <c r="D22" s="28">
        <f t="shared" si="0"/>
        <v>96998.98000000001</v>
      </c>
      <c r="E22" s="22"/>
    </row>
    <row r="23" spans="1:5">
      <c r="A23" s="23" t="s">
        <v>20</v>
      </c>
      <c r="B23" s="24">
        <v>2240</v>
      </c>
      <c r="C23" s="35">
        <v>0</v>
      </c>
      <c r="D23" s="28">
        <f t="shared" si="0"/>
        <v>0</v>
      </c>
      <c r="E23" s="22"/>
    </row>
    <row r="24" spans="1:5">
      <c r="A24" s="23" t="s">
        <v>62</v>
      </c>
      <c r="B24" s="24">
        <v>2240</v>
      </c>
      <c r="C24" s="35">
        <f>308.72</f>
        <v>308.72000000000003</v>
      </c>
      <c r="D24" s="28">
        <f t="shared" si="0"/>
        <v>308.72000000000003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701189.76179342519</v>
      </c>
      <c r="D25" s="28">
        <f t="shared" si="0"/>
        <v>701189.76179342519</v>
      </c>
      <c r="E25" s="22"/>
    </row>
    <row r="26" spans="1:5">
      <c r="A26" s="25" t="s">
        <v>9</v>
      </c>
      <c r="B26" s="26">
        <v>2271</v>
      </c>
      <c r="C26" s="27">
        <v>500988.05115768261</v>
      </c>
      <c r="D26" s="27">
        <f t="shared" si="0"/>
        <v>500988.05115768261</v>
      </c>
      <c r="E26" s="22"/>
    </row>
    <row r="27" spans="1:5">
      <c r="A27" s="25" t="s">
        <v>10</v>
      </c>
      <c r="B27" s="26">
        <v>2272</v>
      </c>
      <c r="C27" s="27">
        <v>29494.833472443046</v>
      </c>
      <c r="D27" s="27">
        <f t="shared" si="0"/>
        <v>29494.833472443046</v>
      </c>
      <c r="E27" s="22"/>
    </row>
    <row r="28" spans="1:5">
      <c r="A28" s="25" t="s">
        <v>11</v>
      </c>
      <c r="B28" s="26">
        <v>2273</v>
      </c>
      <c r="C28" s="27">
        <v>165768.22219483511</v>
      </c>
      <c r="D28" s="27">
        <f t="shared" si="0"/>
        <v>165768.22219483511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4938.6549684643905</v>
      </c>
      <c r="D30" s="34">
        <f t="shared" si="0"/>
        <v>4938.6549684643905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30000</v>
      </c>
      <c r="D33" s="28">
        <f t="shared" si="0"/>
        <v>30000</v>
      </c>
      <c r="E33" s="22"/>
    </row>
    <row r="34" spans="1:5">
      <c r="A34" s="25" t="s">
        <v>17</v>
      </c>
      <c r="B34" s="26">
        <v>3110</v>
      </c>
      <c r="C34" s="27">
        <v>30000</v>
      </c>
      <c r="D34" s="27">
        <f t="shared" si="0"/>
        <v>30000</v>
      </c>
      <c r="E34" s="22"/>
    </row>
    <row r="35" spans="1:5">
      <c r="A35" s="25" t="s">
        <v>18</v>
      </c>
      <c r="B35" s="26">
        <v>3130</v>
      </c>
      <c r="C35" s="27">
        <v>0</v>
      </c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80" zoomScaleSheetLayoutView="100" workbookViewId="0">
      <selection activeCell="E14" sqref="E14:E36"/>
    </sheetView>
  </sheetViews>
  <sheetFormatPr defaultColWidth="14.42578125" defaultRowHeight="15" customHeight="1"/>
  <cols>
    <col min="1" max="1" width="57.85546875" style="19" customWidth="1"/>
    <col min="2" max="2" width="10.85546875" style="19" customWidth="1"/>
    <col min="3" max="4" width="17.42578125" style="19" customWidth="1"/>
    <col min="5" max="16384" width="14.42578125" style="19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63.75" customHeight="1">
      <c r="A5" s="17" t="s">
        <v>23</v>
      </c>
      <c r="B5" s="37" t="s">
        <v>40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1118527.3763470994</v>
      </c>
      <c r="D15" s="28">
        <f>C15</f>
        <v>1118527.3763470994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1068727.3763470994</v>
      </c>
      <c r="D16" s="28">
        <f t="shared" ref="D16:D35" si="0">C16</f>
        <v>1068727.3763470994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1068727.3763470994</v>
      </c>
      <c r="D17" s="28">
        <f t="shared" si="0"/>
        <v>1068727.3763470994</v>
      </c>
      <c r="E17" s="22"/>
    </row>
    <row r="18" spans="1:5" s="12" customFormat="1">
      <c r="A18" s="29" t="s">
        <v>6</v>
      </c>
      <c r="B18" s="30">
        <v>2210</v>
      </c>
      <c r="C18" s="31">
        <v>705.16370023880359</v>
      </c>
      <c r="D18" s="28">
        <f t="shared" si="0"/>
        <v>705.16370023880359</v>
      </c>
      <c r="E18" s="22"/>
    </row>
    <row r="19" spans="1:5" s="8" customFormat="1">
      <c r="A19" s="29" t="s">
        <v>59</v>
      </c>
      <c r="B19" s="30">
        <v>2210</v>
      </c>
      <c r="C19" s="32">
        <f>42350</f>
        <v>42350</v>
      </c>
      <c r="D19" s="28">
        <f t="shared" si="0"/>
        <v>42350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10011.347297648255</v>
      </c>
      <c r="D21" s="28">
        <f t="shared" si="0"/>
        <v>10011.347297648255</v>
      </c>
      <c r="E21" s="22"/>
    </row>
    <row r="22" spans="1:5">
      <c r="A22" s="23" t="s">
        <v>61</v>
      </c>
      <c r="B22" s="24">
        <v>2240</v>
      </c>
      <c r="C22" s="35">
        <v>0</v>
      </c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>
        <f>40748+17000</f>
        <v>57748</v>
      </c>
      <c r="D23" s="28">
        <f t="shared" si="0"/>
        <v>57748</v>
      </c>
      <c r="E23" s="22"/>
    </row>
    <row r="24" spans="1:5">
      <c r="A24" s="23" t="s">
        <v>62</v>
      </c>
      <c r="B24" s="24">
        <v>2240</v>
      </c>
      <c r="C24" s="35">
        <f>528.88</f>
        <v>528.88</v>
      </c>
      <c r="D24" s="28">
        <f t="shared" si="0"/>
        <v>528.88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957383.98534921242</v>
      </c>
      <c r="D25" s="28">
        <f t="shared" si="0"/>
        <v>957383.98534921242</v>
      </c>
      <c r="E25" s="22"/>
    </row>
    <row r="26" spans="1:5">
      <c r="A26" s="25" t="s">
        <v>9</v>
      </c>
      <c r="B26" s="26">
        <v>2271</v>
      </c>
      <c r="C26" s="27">
        <v>767626.10338280001</v>
      </c>
      <c r="D26" s="27">
        <f t="shared" si="0"/>
        <v>767626.10338280001</v>
      </c>
      <c r="E26" s="22"/>
    </row>
    <row r="27" spans="1:5">
      <c r="A27" s="25" t="s">
        <v>10</v>
      </c>
      <c r="B27" s="26">
        <v>2272</v>
      </c>
      <c r="C27" s="27">
        <v>36764.880830049311</v>
      </c>
      <c r="D27" s="27">
        <f t="shared" si="0"/>
        <v>36764.880830049311</v>
      </c>
      <c r="E27" s="22"/>
    </row>
    <row r="28" spans="1:5">
      <c r="A28" s="25" t="s">
        <v>11</v>
      </c>
      <c r="B28" s="26">
        <v>2273</v>
      </c>
      <c r="C28" s="27">
        <v>148536.10098204808</v>
      </c>
      <c r="D28" s="27">
        <f t="shared" si="0"/>
        <v>148536.10098204808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4456.9001543150735</v>
      </c>
      <c r="D30" s="34">
        <f t="shared" si="0"/>
        <v>4456.9001543150735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49800</v>
      </c>
      <c r="D33" s="28">
        <f t="shared" si="0"/>
        <v>49800</v>
      </c>
      <c r="E33" s="22"/>
    </row>
    <row r="34" spans="1:5">
      <c r="A34" s="25" t="s">
        <v>17</v>
      </c>
      <c r="B34" s="26">
        <v>3110</v>
      </c>
      <c r="C34" s="27">
        <v>49800</v>
      </c>
      <c r="D34" s="27">
        <f t="shared" si="0"/>
        <v>49800</v>
      </c>
      <c r="E34" s="22"/>
    </row>
    <row r="35" spans="1:5">
      <c r="A35" s="25" t="s">
        <v>18</v>
      </c>
      <c r="B35" s="26">
        <v>3130</v>
      </c>
      <c r="C35" s="27">
        <v>0</v>
      </c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38" spans="1:5" ht="15" customHeight="1">
      <c r="C38" s="20"/>
      <c r="D38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80" zoomScaleSheetLayoutView="100" workbookViewId="0">
      <selection activeCell="E13" sqref="E13:F36"/>
    </sheetView>
  </sheetViews>
  <sheetFormatPr defaultColWidth="14.42578125" defaultRowHeight="15" customHeight="1"/>
  <cols>
    <col min="1" max="1" width="57.85546875" style="36" customWidth="1"/>
    <col min="2" max="2" width="10.85546875" style="36" customWidth="1"/>
    <col min="3" max="4" width="17.42578125" style="36" customWidth="1"/>
    <col min="5" max="16384" width="14.42578125" style="36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63.75" customHeight="1">
      <c r="A5" s="17" t="s">
        <v>23</v>
      </c>
      <c r="B5" s="37" t="s">
        <v>63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382884.93</v>
      </c>
      <c r="D15" s="28">
        <f>C15</f>
        <v>382884.93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382884.93</v>
      </c>
      <c r="D16" s="28">
        <f t="shared" ref="D16:D35" si="0">C16</f>
        <v>382884.93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382884.93</v>
      </c>
      <c r="D17" s="28">
        <f t="shared" si="0"/>
        <v>382884.93</v>
      </c>
      <c r="E17" s="22"/>
    </row>
    <row r="18" spans="1:5" s="12" customFormat="1">
      <c r="A18" s="29" t="s">
        <v>6</v>
      </c>
      <c r="B18" s="30">
        <v>2210</v>
      </c>
      <c r="C18" s="31"/>
      <c r="D18" s="28">
        <f t="shared" si="0"/>
        <v>0</v>
      </c>
      <c r="E18" s="22"/>
    </row>
    <row r="19" spans="1:5" s="8" customFormat="1">
      <c r="A19" s="29" t="s">
        <v>59</v>
      </c>
      <c r="B19" s="30">
        <v>2210</v>
      </c>
      <c r="C19" s="32"/>
      <c r="D19" s="28">
        <f t="shared" si="0"/>
        <v>0</v>
      </c>
      <c r="E19" s="22"/>
    </row>
    <row r="20" spans="1:5" s="13" customFormat="1">
      <c r="A20" s="23" t="s">
        <v>60</v>
      </c>
      <c r="B20" s="24">
        <v>2210</v>
      </c>
      <c r="C20" s="32"/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1075</f>
        <v>1075</v>
      </c>
      <c r="D21" s="28">
        <f t="shared" si="0"/>
        <v>1075</v>
      </c>
      <c r="E21" s="22"/>
    </row>
    <row r="22" spans="1:5">
      <c r="A22" s="23" t="s">
        <v>61</v>
      </c>
      <c r="B22" s="24">
        <v>2240</v>
      </c>
      <c r="C22" s="35"/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>
        <f>49900</f>
        <v>49900</v>
      </c>
      <c r="D23" s="28">
        <f t="shared" si="0"/>
        <v>49900</v>
      </c>
      <c r="E23" s="22"/>
    </row>
    <row r="24" spans="1:5">
      <c r="A24" s="23" t="s">
        <v>62</v>
      </c>
      <c r="B24" s="24">
        <v>2240</v>
      </c>
      <c r="C24" s="35"/>
      <c r="D24" s="28">
        <f t="shared" si="0"/>
        <v>0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331909.93</v>
      </c>
      <c r="D25" s="28">
        <f t="shared" si="0"/>
        <v>331909.93</v>
      </c>
      <c r="E25" s="22"/>
    </row>
    <row r="26" spans="1:5">
      <c r="A26" s="25" t="s">
        <v>9</v>
      </c>
      <c r="B26" s="26">
        <v>2271</v>
      </c>
      <c r="C26" s="27">
        <v>158699.25</v>
      </c>
      <c r="D26" s="27">
        <f t="shared" si="0"/>
        <v>158699.25</v>
      </c>
      <c r="E26" s="22"/>
    </row>
    <row r="27" spans="1:5">
      <c r="A27" s="25" t="s">
        <v>10</v>
      </c>
      <c r="B27" s="26">
        <v>2272</v>
      </c>
      <c r="C27" s="27">
        <v>8120.45</v>
      </c>
      <c r="D27" s="27">
        <f t="shared" si="0"/>
        <v>8120.45</v>
      </c>
      <c r="E27" s="22"/>
    </row>
    <row r="28" spans="1:5">
      <c r="A28" s="25" t="s">
        <v>11</v>
      </c>
      <c r="B28" s="26">
        <v>2273</v>
      </c>
      <c r="C28" s="27">
        <v>162701.85999999999</v>
      </c>
      <c r="D28" s="27">
        <f t="shared" si="0"/>
        <v>162701.85999999999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2388.37</v>
      </c>
      <c r="D30" s="34">
        <f t="shared" si="0"/>
        <v>2388.37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0</v>
      </c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38" spans="1:5" ht="15" customHeight="1">
      <c r="C38" s="20"/>
      <c r="D38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2:D12"/>
    <mergeCell ref="A1:D1"/>
    <mergeCell ref="A2:D2"/>
    <mergeCell ref="A3:D3"/>
    <mergeCell ref="B5:D5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4" zoomScaleNormal="60" zoomScaleSheetLayoutView="100" workbookViewId="0">
      <selection activeCell="E15" sqref="E15:E3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52.5" customHeight="1">
      <c r="A5" s="17" t="s">
        <v>23</v>
      </c>
      <c r="B5" s="37" t="s">
        <v>43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707581.9624642845</v>
      </c>
      <c r="D15" s="28">
        <f>C15</f>
        <v>707581.9624642845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707581.9624642845</v>
      </c>
      <c r="D16" s="28">
        <f t="shared" ref="D16:D35" si="0">C16</f>
        <v>707581.9624642845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707581.9624642845</v>
      </c>
      <c r="D17" s="28">
        <f t="shared" si="0"/>
        <v>707581.9624642845</v>
      </c>
      <c r="E17" s="22"/>
    </row>
    <row r="18" spans="1:5" s="12" customFormat="1">
      <c r="A18" s="29" t="s">
        <v>6</v>
      </c>
      <c r="B18" s="30">
        <v>2210</v>
      </c>
      <c r="C18" s="31">
        <v>1658.785782787025</v>
      </c>
      <c r="D18" s="31">
        <f t="shared" si="0"/>
        <v>1658.785782787025</v>
      </c>
      <c r="E18" s="22"/>
    </row>
    <row r="19" spans="1:5" s="8" customFormat="1">
      <c r="A19" s="29" t="s">
        <v>59</v>
      </c>
      <c r="B19" s="30">
        <v>2210</v>
      </c>
      <c r="C19" s="32">
        <v>0</v>
      </c>
      <c r="D19" s="32">
        <f t="shared" si="0"/>
        <v>0</v>
      </c>
      <c r="E19" s="22"/>
    </row>
    <row r="20" spans="1:5" s="13" customFormat="1">
      <c r="A20" s="23" t="s">
        <v>60</v>
      </c>
      <c r="B20" s="24">
        <v>2210</v>
      </c>
      <c r="C20" s="28">
        <v>0</v>
      </c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23550.106958509601</v>
      </c>
      <c r="D21" s="28">
        <f t="shared" si="0"/>
        <v>23550.106958509601</v>
      </c>
      <c r="E21" s="22"/>
    </row>
    <row r="22" spans="1:5">
      <c r="A22" s="23" t="s">
        <v>61</v>
      </c>
      <c r="B22" s="24">
        <v>2240</v>
      </c>
      <c r="C22" s="35">
        <v>0</v>
      </c>
      <c r="D22" s="35">
        <f t="shared" si="0"/>
        <v>0</v>
      </c>
      <c r="E22" s="22"/>
    </row>
    <row r="23" spans="1:5">
      <c r="A23" s="23" t="s">
        <v>20</v>
      </c>
      <c r="B23" s="24">
        <v>2240</v>
      </c>
      <c r="C23" s="35">
        <f>24699+18043</f>
        <v>42742</v>
      </c>
      <c r="D23" s="35">
        <f t="shared" si="0"/>
        <v>42742</v>
      </c>
      <c r="E23" s="22"/>
    </row>
    <row r="24" spans="1:5">
      <c r="A24" s="23" t="s">
        <v>62</v>
      </c>
      <c r="B24" s="24">
        <v>2240</v>
      </c>
      <c r="C24" s="35">
        <f>1243.85</f>
        <v>1243.8499999999999</v>
      </c>
      <c r="D24" s="35">
        <f t="shared" si="0"/>
        <v>1243.8499999999999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638387.21972298785</v>
      </c>
      <c r="D25" s="28">
        <f t="shared" si="0"/>
        <v>638387.21972298785</v>
      </c>
      <c r="E25" s="22"/>
    </row>
    <row r="26" spans="1:5">
      <c r="A26" s="25" t="s">
        <v>9</v>
      </c>
      <c r="B26" s="26">
        <v>2271</v>
      </c>
      <c r="C26" s="27">
        <v>540544.48675179528</v>
      </c>
      <c r="D26" s="27">
        <f t="shared" si="0"/>
        <v>540544.48675179528</v>
      </c>
      <c r="E26" s="22"/>
    </row>
    <row r="27" spans="1:5">
      <c r="A27" s="25" t="s">
        <v>10</v>
      </c>
      <c r="B27" s="26">
        <v>2272</v>
      </c>
      <c r="C27" s="27">
        <v>16262.939364423975</v>
      </c>
      <c r="D27" s="27">
        <f t="shared" si="0"/>
        <v>16262.939364423975</v>
      </c>
      <c r="E27" s="22"/>
    </row>
    <row r="28" spans="1:5">
      <c r="A28" s="25" t="s">
        <v>11</v>
      </c>
      <c r="B28" s="26">
        <v>2273</v>
      </c>
      <c r="C28" s="27">
        <v>73736.755646731777</v>
      </c>
      <c r="D28" s="27">
        <f t="shared" si="0"/>
        <v>73736.755646731777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7843.0379600368124</v>
      </c>
      <c r="D30" s="34">
        <f t="shared" si="0"/>
        <v>7843.0379600368124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0</v>
      </c>
      <c r="D35" s="27">
        <f t="shared" si="0"/>
        <v>0</v>
      </c>
      <c r="E35" s="22"/>
    </row>
    <row r="36" spans="1:5" ht="18">
      <c r="A36" s="5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70" zoomScaleSheetLayoutView="100" workbookViewId="0">
      <selection activeCell="E15" sqref="E15:E35"/>
    </sheetView>
  </sheetViews>
  <sheetFormatPr defaultColWidth="14.42578125" defaultRowHeight="15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52.5" customHeight="1">
      <c r="A5" s="17" t="s">
        <v>23</v>
      </c>
      <c r="B5" s="37" t="s">
        <v>44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2177449.0755929379</v>
      </c>
      <c r="D15" s="28">
        <f>C15</f>
        <v>2177449.0755929379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2177449.0755929379</v>
      </c>
      <c r="D16" s="28">
        <f t="shared" ref="D16:D35" si="0">C16</f>
        <v>2177449.0755929379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2173789.0755929379</v>
      </c>
      <c r="D17" s="28">
        <f t="shared" si="0"/>
        <v>2173789.0755929379</v>
      </c>
      <c r="E17" s="22"/>
    </row>
    <row r="18" spans="1:5" s="12" customFormat="1">
      <c r="A18" s="29" t="s">
        <v>6</v>
      </c>
      <c r="B18" s="30">
        <v>2210</v>
      </c>
      <c r="C18" s="31">
        <v>2205.8655860923327</v>
      </c>
      <c r="D18" s="31">
        <f t="shared" si="0"/>
        <v>2205.8655860923327</v>
      </c>
      <c r="E18" s="22"/>
    </row>
    <row r="19" spans="1:5" s="8" customFormat="1">
      <c r="A19" s="29" t="s">
        <v>59</v>
      </c>
      <c r="B19" s="30">
        <v>2210</v>
      </c>
      <c r="C19" s="32">
        <f>49988.58+30000+64983.65</f>
        <v>144972.23000000001</v>
      </c>
      <c r="D19" s="32">
        <f t="shared" si="0"/>
        <v>144972.23000000001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32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1905+31317.11</f>
        <v>33222.11</v>
      </c>
      <c r="D21" s="28">
        <f t="shared" si="0"/>
        <v>33222.11</v>
      </c>
      <c r="E21" s="22"/>
    </row>
    <row r="22" spans="1:5">
      <c r="A22" s="23" t="s">
        <v>61</v>
      </c>
      <c r="B22" s="24">
        <v>2240</v>
      </c>
      <c r="C22" s="35">
        <v>0</v>
      </c>
      <c r="D22" s="35">
        <f t="shared" si="0"/>
        <v>0</v>
      </c>
      <c r="E22" s="22"/>
    </row>
    <row r="23" spans="1:5">
      <c r="A23" s="23" t="s">
        <v>20</v>
      </c>
      <c r="B23" s="24">
        <v>2240</v>
      </c>
      <c r="C23" s="35">
        <f>41744</f>
        <v>41744</v>
      </c>
      <c r="D23" s="35">
        <f t="shared" si="0"/>
        <v>41744</v>
      </c>
      <c r="E23" s="22"/>
    </row>
    <row r="24" spans="1:5">
      <c r="A24" s="23" t="s">
        <v>62</v>
      </c>
      <c r="B24" s="24">
        <v>2240</v>
      </c>
      <c r="C24" s="35">
        <f>20518+49999+1654.08</f>
        <v>72171.08</v>
      </c>
      <c r="D24" s="35">
        <f t="shared" si="0"/>
        <v>72171.08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1879473.7900068457</v>
      </c>
      <c r="D25" s="28">
        <f t="shared" si="0"/>
        <v>1879473.7900068457</v>
      </c>
      <c r="E25" s="22"/>
    </row>
    <row r="26" spans="1:5">
      <c r="A26" s="25" t="s">
        <v>9</v>
      </c>
      <c r="B26" s="26">
        <v>2271</v>
      </c>
      <c r="C26" s="27">
        <v>1515624.1409579434</v>
      </c>
      <c r="D26" s="27">
        <f t="shared" si="0"/>
        <v>1515624.1409579434</v>
      </c>
      <c r="E26" s="22"/>
    </row>
    <row r="27" spans="1:5">
      <c r="A27" s="25" t="s">
        <v>10</v>
      </c>
      <c r="B27" s="26">
        <v>2272</v>
      </c>
      <c r="C27" s="27">
        <v>103350.09474164559</v>
      </c>
      <c r="D27" s="27">
        <f t="shared" si="0"/>
        <v>103350.09474164559</v>
      </c>
      <c r="E27" s="22"/>
    </row>
    <row r="28" spans="1:5">
      <c r="A28" s="25" t="s">
        <v>11</v>
      </c>
      <c r="B28" s="26">
        <v>2273</v>
      </c>
      <c r="C28" s="27">
        <v>253323.63129291774</v>
      </c>
      <c r="D28" s="27">
        <f t="shared" si="0"/>
        <v>253323.63129291774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7175.9230143391515</v>
      </c>
      <c r="D30" s="34">
        <f t="shared" si="0"/>
        <v>7175.9230143391515</v>
      </c>
      <c r="E30" s="22"/>
    </row>
    <row r="31" spans="1:5" s="11" customFormat="1">
      <c r="A31" s="23" t="s">
        <v>13</v>
      </c>
      <c r="B31" s="24">
        <v>2700</v>
      </c>
      <c r="C31" s="28">
        <f>C32</f>
        <v>3660</v>
      </c>
      <c r="D31" s="28">
        <f t="shared" si="0"/>
        <v>3660</v>
      </c>
      <c r="E31" s="22"/>
    </row>
    <row r="32" spans="1:5">
      <c r="A32" s="25" t="s">
        <v>14</v>
      </c>
      <c r="B32" s="26">
        <v>2730</v>
      </c>
      <c r="C32" s="27">
        <f>3660</f>
        <v>3660</v>
      </c>
      <c r="D32" s="27">
        <f t="shared" si="0"/>
        <v>3660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0</v>
      </c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38" spans="1:5" ht="15" customHeight="1">
      <c r="C38" s="20"/>
      <c r="D38" s="20"/>
    </row>
    <row r="39" spans="1:5" ht="15" customHeight="1">
      <c r="C39" s="20"/>
      <c r="D39" s="20"/>
    </row>
    <row r="40" spans="1:5" ht="15" customHeight="1">
      <c r="C40" s="20"/>
      <c r="D40" s="20"/>
    </row>
    <row r="41" spans="1:5" ht="15" customHeight="1"/>
    <row r="42" spans="1:5" ht="15" customHeight="1"/>
    <row r="43" spans="1:5" s="8" customFormat="1"/>
    <row r="44" spans="1:5" s="8" customFormat="1"/>
    <row r="45" spans="1:5" s="8" customFormat="1"/>
    <row r="46" spans="1:5" ht="15" customHeight="1"/>
    <row r="47" spans="1:5" ht="15" customHeight="1"/>
    <row r="48" spans="1: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="8" customFormat="1"/>
    <row r="82" s="8" customFormat="1"/>
    <row r="83" s="8" customForma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s="8" customFormat="1"/>
    <row r="120" s="8" customFormat="1"/>
    <row r="121" s="8" customForma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s="8" customFormat="1"/>
    <row r="158" s="8" customFormat="1"/>
    <row r="159" s="8" customForma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s="8" customFormat="1"/>
    <row r="196" s="8" customFormat="1"/>
    <row r="197" s="8" customFormat="1"/>
    <row r="198" ht="15" customHeight="1"/>
    <row r="199" ht="15" customHeigh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70" zoomScaleSheetLayoutView="100" workbookViewId="0">
      <selection activeCell="E15" sqref="E15:E36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52.5" customHeight="1">
      <c r="A5" s="17" t="s">
        <v>23</v>
      </c>
      <c r="B5" s="37" t="s">
        <v>32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3132288.8390439278</v>
      </c>
      <c r="D15" s="28">
        <f>C15</f>
        <v>3132288.8390439278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3132288.8390439278</v>
      </c>
      <c r="D16" s="28">
        <f t="shared" ref="D16:D35" si="0">C16</f>
        <v>3132288.8390439278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3126188.8390439278</v>
      </c>
      <c r="D17" s="28">
        <f t="shared" si="0"/>
        <v>3126188.8390439278</v>
      </c>
      <c r="E17" s="22"/>
    </row>
    <row r="18" spans="1:5" s="12" customFormat="1">
      <c r="A18" s="29" t="s">
        <v>6</v>
      </c>
      <c r="B18" s="30">
        <v>2210</v>
      </c>
      <c r="C18" s="31">
        <v>3989.7728579078412</v>
      </c>
      <c r="D18" s="28">
        <f t="shared" si="0"/>
        <v>3989.7728579078412</v>
      </c>
      <c r="E18" s="22"/>
    </row>
    <row r="19" spans="1:5" s="8" customFormat="1">
      <c r="A19" s="29" t="s">
        <v>59</v>
      </c>
      <c r="B19" s="30">
        <v>2210</v>
      </c>
      <c r="C19" s="32">
        <f>29910.24+19999.98+24930</f>
        <v>74840.22</v>
      </c>
      <c r="D19" s="28">
        <f t="shared" si="0"/>
        <v>74840.22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56643.5874474527-1075</f>
        <v>55568.587447452701</v>
      </c>
      <c r="D21" s="28">
        <f t="shared" si="0"/>
        <v>55568.587447452701</v>
      </c>
      <c r="E21" s="22"/>
    </row>
    <row r="22" spans="1:5">
      <c r="A22" s="23" t="s">
        <v>61</v>
      </c>
      <c r="B22" s="24">
        <v>2240</v>
      </c>
      <c r="C22" s="35">
        <v>0</v>
      </c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>
        <f>49900+49900</f>
        <v>99800</v>
      </c>
      <c r="D23" s="28">
        <f t="shared" si="0"/>
        <v>99800</v>
      </c>
      <c r="E23" s="22"/>
    </row>
    <row r="24" spans="1:5">
      <c r="A24" s="23" t="s">
        <v>62</v>
      </c>
      <c r="B24" s="24">
        <v>2240</v>
      </c>
      <c r="C24" s="35">
        <f>158518+2991.75</f>
        <v>161509.75</v>
      </c>
      <c r="D24" s="28">
        <f t="shared" si="0"/>
        <v>161509.75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2730480.5087385671</v>
      </c>
      <c r="D25" s="28">
        <f t="shared" si="0"/>
        <v>2730480.5087385671</v>
      </c>
      <c r="E25" s="22"/>
    </row>
    <row r="26" spans="1:5">
      <c r="A26" s="25" t="s">
        <v>9</v>
      </c>
      <c r="B26" s="26">
        <v>2271</v>
      </c>
      <c r="C26" s="27">
        <f>2444033.53976616-158699.25</f>
        <v>2285334.2897661598</v>
      </c>
      <c r="D26" s="27">
        <f t="shared" si="0"/>
        <v>2285334.2897661598</v>
      </c>
      <c r="E26" s="22"/>
    </row>
    <row r="27" spans="1:5">
      <c r="A27" s="25" t="s">
        <v>10</v>
      </c>
      <c r="B27" s="26">
        <v>2272</v>
      </c>
      <c r="C27" s="27">
        <f>43289.860470363-8120.45</f>
        <v>35169.410470363</v>
      </c>
      <c r="D27" s="27">
        <f t="shared" si="0"/>
        <v>35169.410470363</v>
      </c>
      <c r="E27" s="22"/>
    </row>
    <row r="28" spans="1:5">
      <c r="A28" s="25" t="s">
        <v>11</v>
      </c>
      <c r="B28" s="26">
        <v>2273</v>
      </c>
      <c r="C28" s="27">
        <f>558653.023191583-162701.86</f>
        <v>395951.16319158301</v>
      </c>
      <c r="D28" s="27">
        <f t="shared" si="0"/>
        <v>395951.16319158301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16414.0153104612-2388.37</f>
        <v>14025.645310461201</v>
      </c>
      <c r="D30" s="34">
        <f t="shared" si="0"/>
        <v>14025.645310461201</v>
      </c>
      <c r="E30" s="22"/>
    </row>
    <row r="31" spans="1:5" s="11" customFormat="1">
      <c r="A31" s="23" t="s">
        <v>13</v>
      </c>
      <c r="B31" s="24">
        <v>2700</v>
      </c>
      <c r="C31" s="28">
        <f>C32</f>
        <v>6100</v>
      </c>
      <c r="D31" s="28">
        <f t="shared" si="0"/>
        <v>6100</v>
      </c>
      <c r="E31" s="22"/>
    </row>
    <row r="32" spans="1:5">
      <c r="A32" s="25" t="s">
        <v>14</v>
      </c>
      <c r="B32" s="26">
        <v>2730</v>
      </c>
      <c r="C32" s="27">
        <v>6100</v>
      </c>
      <c r="D32" s="27">
        <f t="shared" si="0"/>
        <v>6100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0</v>
      </c>
      <c r="D35" s="27">
        <f t="shared" si="0"/>
        <v>0</v>
      </c>
      <c r="E35" s="22"/>
    </row>
    <row r="36" spans="1:5" ht="18">
      <c r="A36" s="5"/>
      <c r="C36" s="20"/>
      <c r="D36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80" zoomScaleSheetLayoutView="100" workbookViewId="0">
      <selection activeCell="E15" sqref="E15:E3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62.25" customHeight="1">
      <c r="A5" s="17" t="s">
        <v>23</v>
      </c>
      <c r="B5" s="37" t="s">
        <v>45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1005918.0953742482</v>
      </c>
      <c r="D15" s="28">
        <f>C15</f>
        <v>1005918.0953742482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957678.09537424822</v>
      </c>
      <c r="D16" s="28">
        <f t="shared" ref="D16:D35" si="0">C16</f>
        <v>957678.09537424822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957678.09537424822</v>
      </c>
      <c r="D17" s="28">
        <f t="shared" si="0"/>
        <v>957678.09537424822</v>
      </c>
      <c r="E17" s="22"/>
    </row>
    <row r="18" spans="1:5" s="12" customFormat="1">
      <c r="A18" s="29" t="s">
        <v>6</v>
      </c>
      <c r="B18" s="30">
        <v>2210</v>
      </c>
      <c r="C18" s="31">
        <v>1785.6588892042873</v>
      </c>
      <c r="D18" s="28">
        <f t="shared" si="0"/>
        <v>1785.6588892042873</v>
      </c>
      <c r="E18" s="22"/>
    </row>
    <row r="19" spans="1:5" s="8" customFormat="1">
      <c r="A19" s="29" t="s">
        <v>59</v>
      </c>
      <c r="B19" s="30">
        <v>2210</v>
      </c>
      <c r="C19" s="32">
        <f>14600</f>
        <v>14600</v>
      </c>
      <c r="D19" s="28">
        <f t="shared" si="0"/>
        <v>14600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25351.349323430764</v>
      </c>
      <c r="D21" s="28">
        <f t="shared" si="0"/>
        <v>25351.349323430764</v>
      </c>
      <c r="E21" s="22"/>
    </row>
    <row r="22" spans="1:5">
      <c r="A22" s="23" t="s">
        <v>61</v>
      </c>
      <c r="B22" s="24">
        <v>2240</v>
      </c>
      <c r="C22" s="35">
        <f>10000</f>
        <v>10000</v>
      </c>
      <c r="D22" s="28">
        <f t="shared" si="0"/>
        <v>10000</v>
      </c>
      <c r="E22" s="22"/>
    </row>
    <row r="23" spans="1:5">
      <c r="A23" s="23" t="s">
        <v>20</v>
      </c>
      <c r="B23" s="24">
        <v>2240</v>
      </c>
      <c r="C23" s="35">
        <f>2139+17125+46281</f>
        <v>65545</v>
      </c>
      <c r="D23" s="28">
        <f t="shared" si="0"/>
        <v>65545</v>
      </c>
      <c r="E23" s="22"/>
    </row>
    <row r="24" spans="1:5">
      <c r="A24" s="23" t="s">
        <v>62</v>
      </c>
      <c r="B24" s="24">
        <v>2240</v>
      </c>
      <c r="C24" s="35">
        <f>6311+43038+10324+1338.98</f>
        <v>61011.98</v>
      </c>
      <c r="D24" s="28">
        <f t="shared" si="0"/>
        <v>61011.98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779384.10716161318</v>
      </c>
      <c r="D25" s="28">
        <f t="shared" si="0"/>
        <v>779384.10716161318</v>
      </c>
      <c r="E25" s="22"/>
    </row>
    <row r="26" spans="1:5">
      <c r="A26" s="25" t="s">
        <v>9</v>
      </c>
      <c r="B26" s="26">
        <v>2271</v>
      </c>
      <c r="C26" s="27">
        <v>545814.29079494416</v>
      </c>
      <c r="D26" s="27">
        <f t="shared" si="0"/>
        <v>545814.29079494416</v>
      </c>
      <c r="E26" s="22"/>
    </row>
    <row r="27" spans="1:5">
      <c r="A27" s="25" t="s">
        <v>10</v>
      </c>
      <c r="B27" s="26">
        <v>2272</v>
      </c>
      <c r="C27" s="27">
        <v>46524.218535430366</v>
      </c>
      <c r="D27" s="27">
        <f t="shared" si="0"/>
        <v>46524.218535430366</v>
      </c>
      <c r="E27" s="22"/>
    </row>
    <row r="28" spans="1:5">
      <c r="A28" s="25" t="s">
        <v>11</v>
      </c>
      <c r="B28" s="26">
        <v>2273</v>
      </c>
      <c r="C28" s="27">
        <v>180080.25975960313</v>
      </c>
      <c r="D28" s="27">
        <f t="shared" si="0"/>
        <v>180080.25975960313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6965.3380716354586</v>
      </c>
      <c r="D30" s="34">
        <f t="shared" si="0"/>
        <v>6965.3380716354586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48240</v>
      </c>
      <c r="D33" s="28">
        <f t="shared" si="0"/>
        <v>48240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48240</v>
      </c>
      <c r="D35" s="27">
        <f t="shared" si="0"/>
        <v>48240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60" zoomScaleSheetLayoutView="100" workbookViewId="0">
      <selection activeCell="E15" sqref="E15:E36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62.25" customHeight="1">
      <c r="A5" s="17" t="s">
        <v>23</v>
      </c>
      <c r="B5" s="37" t="s">
        <v>46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935991.65849325235</v>
      </c>
      <c r="D15" s="28">
        <f>C15</f>
        <v>935991.65849325235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935991.65849325235</v>
      </c>
      <c r="D16" s="28">
        <f t="shared" ref="D16:D35" si="0">C16</f>
        <v>935991.65849325235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935991.65849325235</v>
      </c>
      <c r="D17" s="28">
        <f t="shared" si="0"/>
        <v>935991.65849325235</v>
      </c>
      <c r="E17" s="22"/>
    </row>
    <row r="18" spans="1:5" s="12" customFormat="1">
      <c r="A18" s="29" t="s">
        <v>6</v>
      </c>
      <c r="B18" s="30">
        <v>2210</v>
      </c>
      <c r="C18" s="31">
        <v>2117.3272828941203</v>
      </c>
      <c r="D18" s="31">
        <f t="shared" si="0"/>
        <v>2117.3272828941203</v>
      </c>
      <c r="E18" s="22"/>
    </row>
    <row r="19" spans="1:5" s="8" customFormat="1">
      <c r="A19" s="29" t="s">
        <v>59</v>
      </c>
      <c r="B19" s="30">
        <v>2210</v>
      </c>
      <c r="C19" s="32">
        <f>35000+80000</f>
        <v>115000</v>
      </c>
      <c r="D19" s="32">
        <f t="shared" si="0"/>
        <v>115000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32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30060.110531300052</v>
      </c>
      <c r="D21" s="28">
        <f t="shared" si="0"/>
        <v>30060.110531300052</v>
      </c>
      <c r="E21" s="22"/>
    </row>
    <row r="22" spans="1:5">
      <c r="A22" s="23" t="s">
        <v>61</v>
      </c>
      <c r="B22" s="24">
        <v>2240</v>
      </c>
      <c r="C22" s="35">
        <v>0</v>
      </c>
      <c r="D22" s="35">
        <f t="shared" si="0"/>
        <v>0</v>
      </c>
      <c r="E22" s="22"/>
    </row>
    <row r="23" spans="1:5">
      <c r="A23" s="23" t="s">
        <v>20</v>
      </c>
      <c r="B23" s="24">
        <v>2240</v>
      </c>
      <c r="C23" s="35">
        <f>15328</f>
        <v>15328</v>
      </c>
      <c r="D23" s="35">
        <f t="shared" si="0"/>
        <v>15328</v>
      </c>
      <c r="E23" s="22"/>
    </row>
    <row r="24" spans="1:5">
      <c r="A24" s="23" t="s">
        <v>62</v>
      </c>
      <c r="B24" s="24">
        <v>2240</v>
      </c>
      <c r="C24" s="35">
        <f>1587.69</f>
        <v>1587.69</v>
      </c>
      <c r="D24" s="35">
        <f t="shared" si="0"/>
        <v>1587.69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771898.53067905817</v>
      </c>
      <c r="D25" s="28">
        <f t="shared" si="0"/>
        <v>771898.53067905817</v>
      </c>
      <c r="E25" s="22"/>
    </row>
    <row r="26" spans="1:5">
      <c r="A26" s="25" t="s">
        <v>9</v>
      </c>
      <c r="B26" s="26">
        <v>2271</v>
      </c>
      <c r="C26" s="27">
        <v>668635.38431558502</v>
      </c>
      <c r="D26" s="27">
        <f t="shared" si="0"/>
        <v>668635.38431558502</v>
      </c>
      <c r="E26" s="22"/>
    </row>
    <row r="27" spans="1:5">
      <c r="A27" s="25" t="s">
        <v>10</v>
      </c>
      <c r="B27" s="26">
        <v>2272</v>
      </c>
      <c r="C27" s="27">
        <v>22109.353088213989</v>
      </c>
      <c r="D27" s="27">
        <f t="shared" si="0"/>
        <v>22109.353088213989</v>
      </c>
      <c r="E27" s="22"/>
    </row>
    <row r="28" spans="1:5">
      <c r="A28" s="25" t="s">
        <v>11</v>
      </c>
      <c r="B28" s="26">
        <v>2273</v>
      </c>
      <c r="C28" s="27">
        <v>76154.603802462996</v>
      </c>
      <c r="D28" s="27">
        <f t="shared" si="0"/>
        <v>76154.603802462996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4999.1894727962144</v>
      </c>
      <c r="D30" s="34">
        <f t="shared" si="0"/>
        <v>4999.1894727962144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0</v>
      </c>
      <c r="D35" s="27">
        <f t="shared" si="0"/>
        <v>0</v>
      </c>
      <c r="E35" s="22"/>
    </row>
    <row r="36" spans="1:5" ht="18">
      <c r="A36" s="5"/>
      <c r="C36" s="20"/>
      <c r="D36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70" zoomScaleSheetLayoutView="100" workbookViewId="0">
      <selection activeCell="E15" sqref="E15:E3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68.25" customHeight="1">
      <c r="A5" s="17" t="s">
        <v>23</v>
      </c>
      <c r="B5" s="37" t="s">
        <v>47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342282.67988710356</v>
      </c>
      <c r="D15" s="28">
        <f>C15</f>
        <v>342282.67988710356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342282.67988710356</v>
      </c>
      <c r="D16" s="28">
        <f t="shared" ref="D16:D35" si="0">C16</f>
        <v>342282.67988710356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342282.67988710356</v>
      </c>
      <c r="D17" s="28">
        <f t="shared" si="0"/>
        <v>342282.67988710356</v>
      </c>
      <c r="E17" s="22"/>
    </row>
    <row r="18" spans="1:5" s="12" customFormat="1">
      <c r="A18" s="29" t="s">
        <v>6</v>
      </c>
      <c r="B18" s="30">
        <v>2210</v>
      </c>
      <c r="C18" s="31">
        <v>1045.9332733927126</v>
      </c>
      <c r="D18" s="31">
        <f t="shared" si="0"/>
        <v>1045.9332733927126</v>
      </c>
      <c r="E18" s="22"/>
    </row>
    <row r="19" spans="1:5" s="8" customFormat="1">
      <c r="A19" s="29" t="s">
        <v>59</v>
      </c>
      <c r="B19" s="30">
        <v>2210</v>
      </c>
      <c r="C19" s="32">
        <v>0</v>
      </c>
      <c r="D19" s="32">
        <f t="shared" si="0"/>
        <v>0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32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14849.31973462964</v>
      </c>
      <c r="D21" s="28">
        <f t="shared" si="0"/>
        <v>14849.31973462964</v>
      </c>
      <c r="E21" s="22"/>
    </row>
    <row r="22" spans="1:5">
      <c r="A22" s="23" t="s">
        <v>61</v>
      </c>
      <c r="B22" s="24">
        <v>2240</v>
      </c>
      <c r="C22" s="35">
        <v>0</v>
      </c>
      <c r="D22" s="35">
        <f t="shared" si="0"/>
        <v>0</v>
      </c>
      <c r="E22" s="22"/>
    </row>
    <row r="23" spans="1:5">
      <c r="A23" s="23" t="s">
        <v>20</v>
      </c>
      <c r="B23" s="24">
        <v>2240</v>
      </c>
      <c r="C23" s="35">
        <v>0</v>
      </c>
      <c r="D23" s="35">
        <f t="shared" si="0"/>
        <v>0</v>
      </c>
      <c r="E23" s="22"/>
    </row>
    <row r="24" spans="1:5">
      <c r="A24" s="23" t="s">
        <v>62</v>
      </c>
      <c r="B24" s="24">
        <v>2240</v>
      </c>
      <c r="C24" s="35">
        <f>784.3</f>
        <v>784.3</v>
      </c>
      <c r="D24" s="35">
        <f t="shared" si="0"/>
        <v>784.3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325603.12687908119</v>
      </c>
      <c r="D25" s="28">
        <f t="shared" si="0"/>
        <v>325603.12687908119</v>
      </c>
      <c r="E25" s="22"/>
    </row>
    <row r="26" spans="1:5">
      <c r="A26" s="25" t="s">
        <v>9</v>
      </c>
      <c r="B26" s="26">
        <v>2271</v>
      </c>
      <c r="C26" s="27">
        <v>0</v>
      </c>
      <c r="D26" s="27">
        <f t="shared" si="0"/>
        <v>0</v>
      </c>
      <c r="E26" s="22"/>
    </row>
    <row r="27" spans="1:5">
      <c r="A27" s="25" t="s">
        <v>10</v>
      </c>
      <c r="B27" s="26">
        <v>2272</v>
      </c>
      <c r="C27" s="27">
        <v>3499.2889695260583</v>
      </c>
      <c r="D27" s="27">
        <f t="shared" si="0"/>
        <v>3499.2889695260583</v>
      </c>
      <c r="E27" s="22"/>
    </row>
    <row r="28" spans="1:5">
      <c r="A28" s="25" t="s">
        <v>11</v>
      </c>
      <c r="B28" s="26">
        <v>2273</v>
      </c>
      <c r="C28" s="27">
        <v>321957.54408973613</v>
      </c>
      <c r="D28" s="27">
        <f t="shared" si="0"/>
        <v>321957.54408973613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146.29381981899763</v>
      </c>
      <c r="D30" s="34">
        <f t="shared" si="0"/>
        <v>146.29381981899763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0</v>
      </c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38" spans="1:5" ht="15" customHeight="1">
      <c r="C38" s="20"/>
      <c r="D38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Normal="70" zoomScaleSheetLayoutView="100" workbookViewId="0">
      <selection activeCell="E15" sqref="E15:E3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36</v>
      </c>
      <c r="B2" s="39"/>
      <c r="C2" s="39"/>
      <c r="D2" s="39"/>
    </row>
    <row r="3" spans="1:5">
      <c r="A3" s="40" t="s">
        <v>37</v>
      </c>
      <c r="B3" s="39"/>
      <c r="C3" s="39"/>
      <c r="D3" s="39"/>
    </row>
    <row r="4" spans="1:5">
      <c r="A4" s="1"/>
      <c r="B4" s="1"/>
      <c r="C4" s="2"/>
    </row>
    <row r="5" spans="1:5" ht="46.5" customHeight="1">
      <c r="A5" s="17" t="s">
        <v>23</v>
      </c>
      <c r="B5" s="37" t="s">
        <v>48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38</v>
      </c>
      <c r="D13" s="26" t="s">
        <v>39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363834.55823983136</v>
      </c>
      <c r="D15" s="28">
        <f>C15</f>
        <v>363834.55823983136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363834.55823983136</v>
      </c>
      <c r="D16" s="28">
        <f t="shared" ref="D16:D35" si="0">C16</f>
        <v>363834.55823983136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363834.55823983136</v>
      </c>
      <c r="D17" s="28">
        <f t="shared" si="0"/>
        <v>363834.55823983136</v>
      </c>
      <c r="E17" s="22"/>
    </row>
    <row r="18" spans="1:5" s="12" customFormat="1">
      <c r="A18" s="29" t="s">
        <v>6</v>
      </c>
      <c r="B18" s="30">
        <v>2210</v>
      </c>
      <c r="C18" s="31">
        <v>1061.074623666623</v>
      </c>
      <c r="D18" s="31">
        <f t="shared" si="0"/>
        <v>1061.074623666623</v>
      </c>
      <c r="E18" s="22"/>
    </row>
    <row r="19" spans="1:5" s="8" customFormat="1">
      <c r="A19" s="29" t="s">
        <v>59</v>
      </c>
      <c r="B19" s="30">
        <v>2210</v>
      </c>
      <c r="C19" s="32">
        <v>0</v>
      </c>
      <c r="D19" s="32">
        <f t="shared" si="0"/>
        <v>0</v>
      </c>
      <c r="E19" s="22"/>
    </row>
    <row r="20" spans="1:5" s="13" customFormat="1">
      <c r="A20" s="23" t="s">
        <v>60</v>
      </c>
      <c r="B20" s="24">
        <v>2210</v>
      </c>
      <c r="C20" s="32">
        <v>0</v>
      </c>
      <c r="D20" s="32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v>15064.284452887436</v>
      </c>
      <c r="D21" s="28">
        <f t="shared" si="0"/>
        <v>15064.284452887436</v>
      </c>
      <c r="E21" s="22"/>
    </row>
    <row r="22" spans="1:5">
      <c r="A22" s="23" t="s">
        <v>61</v>
      </c>
      <c r="B22" s="24">
        <v>2240</v>
      </c>
      <c r="C22" s="35">
        <v>0</v>
      </c>
      <c r="D22" s="35">
        <f t="shared" si="0"/>
        <v>0</v>
      </c>
      <c r="E22" s="22"/>
    </row>
    <row r="23" spans="1:5">
      <c r="A23" s="23" t="s">
        <v>20</v>
      </c>
      <c r="B23" s="24">
        <v>2240</v>
      </c>
      <c r="C23" s="35">
        <f>37756</f>
        <v>37756</v>
      </c>
      <c r="D23" s="35">
        <f t="shared" si="0"/>
        <v>37756</v>
      </c>
      <c r="E23" s="22"/>
    </row>
    <row r="24" spans="1:5">
      <c r="A24" s="23" t="s">
        <v>62</v>
      </c>
      <c r="B24" s="24">
        <v>2240</v>
      </c>
      <c r="C24" s="35">
        <f>16665+795.65</f>
        <v>17460.650000000001</v>
      </c>
      <c r="D24" s="35">
        <f t="shared" si="0"/>
        <v>17460.650000000001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292492.54916327726</v>
      </c>
      <c r="D25" s="28">
        <f t="shared" si="0"/>
        <v>292492.54916327726</v>
      </c>
      <c r="E25" s="22"/>
    </row>
    <row r="26" spans="1:5">
      <c r="A26" s="25" t="s">
        <v>9</v>
      </c>
      <c r="B26" s="26">
        <v>2271</v>
      </c>
      <c r="C26" s="27">
        <v>239164.80105169857</v>
      </c>
      <c r="D26" s="27">
        <f t="shared" si="0"/>
        <v>239164.80105169857</v>
      </c>
      <c r="E26" s="22"/>
    </row>
    <row r="27" spans="1:5">
      <c r="A27" s="25" t="s">
        <v>10</v>
      </c>
      <c r="B27" s="26">
        <v>2272</v>
      </c>
      <c r="C27" s="27">
        <v>9271.7206171623784</v>
      </c>
      <c r="D27" s="27">
        <f t="shared" si="0"/>
        <v>9271.7206171623784</v>
      </c>
      <c r="E27" s="22"/>
    </row>
    <row r="28" spans="1:5">
      <c r="A28" s="25" t="s">
        <v>11</v>
      </c>
      <c r="B28" s="26">
        <v>2273</v>
      </c>
      <c r="C28" s="27">
        <v>40855.224608037905</v>
      </c>
      <c r="D28" s="27">
        <f t="shared" si="0"/>
        <v>40855.224608037905</v>
      </c>
      <c r="E28" s="22"/>
    </row>
    <row r="29" spans="1:5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3200.8028863784466</v>
      </c>
      <c r="D30" s="34">
        <f t="shared" si="0"/>
        <v>3200.8028863784466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>
        <v>0</v>
      </c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>
        <v>0</v>
      </c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>
        <v>0</v>
      </c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38" spans="1:5" ht="15" customHeight="1">
      <c r="C38" s="20"/>
      <c r="D38" s="20"/>
    </row>
    <row r="39" spans="1:5" ht="15" customHeight="1">
      <c r="C39" s="20"/>
      <c r="D39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4</vt:lpstr>
      <vt:lpstr>12</vt:lpstr>
      <vt:lpstr>18</vt:lpstr>
      <vt:lpstr>19</vt:lpstr>
      <vt:lpstr>34</vt:lpstr>
      <vt:lpstr>42</vt:lpstr>
      <vt:lpstr>52</vt:lpstr>
      <vt:lpstr>53</vt:lpstr>
      <vt:lpstr>55</vt:lpstr>
      <vt:lpstr>60</vt:lpstr>
      <vt:lpstr>63</vt:lpstr>
      <vt:lpstr>64</vt:lpstr>
      <vt:lpstr>65</vt:lpstr>
      <vt:lpstr>77</vt:lpstr>
      <vt:lpstr>93</vt:lpstr>
      <vt:lpstr>95</vt:lpstr>
      <vt:lpstr>101</vt:lpstr>
      <vt:lpstr>111</vt:lpstr>
      <vt:lpstr>Вибір</vt:lpstr>
      <vt:lpstr>Мрія</vt:lpstr>
      <vt:lpstr>Перспектива</vt:lpstr>
      <vt:lpstr>Прогрес</vt:lpstr>
      <vt:lpstr>Світанок</vt:lpstr>
      <vt:lpstr>Натхнення</vt:lpstr>
      <vt:lpstr>'101'!Область_печати</vt:lpstr>
      <vt:lpstr>'111'!Область_печати</vt:lpstr>
      <vt:lpstr>'12'!Область_печати</vt:lpstr>
      <vt:lpstr>'18'!Область_печати</vt:lpstr>
      <vt:lpstr>'19'!Область_печати</vt:lpstr>
      <vt:lpstr>'34'!Область_печати</vt:lpstr>
      <vt:lpstr>'4'!Область_печати</vt:lpstr>
      <vt:lpstr>'42'!Область_печати</vt:lpstr>
      <vt:lpstr>'52'!Область_печати</vt:lpstr>
      <vt:lpstr>'53'!Область_печати</vt:lpstr>
      <vt:lpstr>'55'!Область_печати</vt:lpstr>
      <vt:lpstr>'60'!Область_печати</vt:lpstr>
      <vt:lpstr>'63'!Область_печати</vt:lpstr>
      <vt:lpstr>'64'!Область_печати</vt:lpstr>
      <vt:lpstr>'65'!Область_печати</vt:lpstr>
      <vt:lpstr>'77'!Область_печати</vt:lpstr>
      <vt:lpstr>'93'!Область_печати</vt:lpstr>
      <vt:lpstr>'95'!Область_печати</vt:lpstr>
      <vt:lpstr>Вибір!Область_печати</vt:lpstr>
      <vt:lpstr>Мрія!Область_печати</vt:lpstr>
      <vt:lpstr>Натхнення!Область_печати</vt:lpstr>
      <vt:lpstr>Перспектива!Область_печати</vt:lpstr>
      <vt:lpstr>Прогрес!Область_печати</vt:lpstr>
      <vt:lpstr>Світанок!Область_печати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abcde</cp:lastModifiedBy>
  <cp:lastPrinted>2021-08-26T06:32:50Z</cp:lastPrinted>
  <dcterms:created xsi:type="dcterms:W3CDTF">2018-06-18T10:20:14Z</dcterms:created>
  <dcterms:modified xsi:type="dcterms:W3CDTF">2022-09-19T14:39:51Z</dcterms:modified>
</cp:coreProperties>
</file>