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30" tabRatio="786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ибір" sheetId="18" r:id="rId19"/>
    <sheet name="Мрія" sheetId="28" r:id="rId20"/>
    <sheet name="Перспектива" sheetId="29" r:id="rId21"/>
    <sheet name="Прогрес" sheetId="30" r:id="rId22"/>
    <sheet name="Світанок" sheetId="27" r:id="rId23"/>
    <sheet name="Натхнення" sheetId="34" r:id="rId24"/>
  </sheets>
  <definedNames>
    <definedName name="_xlnm.Print_Area" localSheetId="16">'101'!$A$1:$D$38</definedName>
    <definedName name="_xlnm.Print_Area" localSheetId="17">'111'!$A$1:$D$38</definedName>
    <definedName name="_xlnm.Print_Area" localSheetId="1">'12'!$A$1:$D$38</definedName>
    <definedName name="_xlnm.Print_Area" localSheetId="2">'18'!$A$1:$D$38</definedName>
    <definedName name="_xlnm.Print_Area" localSheetId="3">'19'!$A$1:$D$38</definedName>
    <definedName name="_xlnm.Print_Area" localSheetId="4">'34'!$A$1:$D$38</definedName>
    <definedName name="_xlnm.Print_Area" localSheetId="0">'4'!$A$1:$D$38</definedName>
    <definedName name="_xlnm.Print_Area" localSheetId="5">'42'!$A$1:$D$38</definedName>
    <definedName name="_xlnm.Print_Area" localSheetId="6">'52'!$A$1:$D$38</definedName>
    <definedName name="_xlnm.Print_Area" localSheetId="7">'53'!$A$1:$D$38</definedName>
    <definedName name="_xlnm.Print_Area" localSheetId="8">'55'!$A$1:$D$38</definedName>
    <definedName name="_xlnm.Print_Area" localSheetId="9">'60'!$A$1:$D$38</definedName>
    <definedName name="_xlnm.Print_Area" localSheetId="10">'63'!$A$1:$D$38</definedName>
    <definedName name="_xlnm.Print_Area" localSheetId="11">'64'!$A$1:$D$38</definedName>
    <definedName name="_xlnm.Print_Area" localSheetId="12">'65'!$A$1:$D$38</definedName>
    <definedName name="_xlnm.Print_Area" localSheetId="13">'77'!$A$1:$D$38</definedName>
    <definedName name="_xlnm.Print_Area" localSheetId="14">'93'!$A$1:$D$38</definedName>
    <definedName name="_xlnm.Print_Area" localSheetId="15">'95'!$A$1:$D$38</definedName>
    <definedName name="_xlnm.Print_Area" localSheetId="18">Вибір!$A$1:$D$38</definedName>
    <definedName name="_xlnm.Print_Area" localSheetId="19">Мрія!$A$1:$D$38</definedName>
    <definedName name="_xlnm.Print_Area" localSheetId="23">Натхнення!$A$1:$D$38</definedName>
    <definedName name="_xlnm.Print_Area" localSheetId="20">Перспектива!$A$1:$D$38</definedName>
    <definedName name="_xlnm.Print_Area" localSheetId="21">Прогрес!$A$1:$D$38</definedName>
    <definedName name="_xlnm.Print_Area" localSheetId="22">Світанок!$A$1:$D$38</definedName>
  </definedNames>
  <calcPr calcId="125725" refMode="R1C1"/>
</workbook>
</file>

<file path=xl/calcChain.xml><?xml version="1.0" encoding="utf-8"?>
<calcChain xmlns="http://schemas.openxmlformats.org/spreadsheetml/2006/main">
  <c r="C33" i="3"/>
  <c r="C33" i="15"/>
  <c r="C32" i="26"/>
  <c r="C32" i="30"/>
  <c r="C32" i="29"/>
  <c r="C32" i="28"/>
  <c r="C32" i="27"/>
  <c r="C32" i="17"/>
  <c r="C32" i="16"/>
  <c r="C32" i="15"/>
  <c r="C32" i="14"/>
  <c r="C32" i="13"/>
  <c r="C32" i="10"/>
  <c r="C32" i="12"/>
  <c r="C32" i="11"/>
  <c r="C32" i="8"/>
  <c r="C32" i="9"/>
  <c r="C32" i="6"/>
  <c r="C32" i="5"/>
  <c r="C32" i="18"/>
  <c r="C32" i="34"/>
  <c r="C32" i="4"/>
  <c r="C32" i="3"/>
  <c r="C32" i="2"/>
  <c r="C30" i="30"/>
  <c r="C30" i="29"/>
  <c r="C30" i="28"/>
  <c r="C30" i="27"/>
  <c r="C30" i="17"/>
  <c r="C30" i="16"/>
  <c r="C30" i="15"/>
  <c r="C30" i="14"/>
  <c r="C30" i="13"/>
  <c r="C30" i="10"/>
  <c r="C30" i="12"/>
  <c r="C30" i="11"/>
  <c r="C30" i="8"/>
  <c r="C30" i="9"/>
  <c r="C30" i="7"/>
  <c r="C30" i="6"/>
  <c r="C30" i="5"/>
  <c r="C30" i="18"/>
  <c r="C30" i="34"/>
  <c r="C30" i="4"/>
  <c r="C30" i="26"/>
  <c r="C30" i="3"/>
  <c r="C30" i="2"/>
  <c r="C30" i="1"/>
  <c r="C29" i="30"/>
  <c r="C29" i="29"/>
  <c r="C29" i="28"/>
  <c r="C29" i="27"/>
  <c r="C29" i="17"/>
  <c r="C29" i="16"/>
  <c r="C29" i="15"/>
  <c r="C29" i="14"/>
  <c r="C29" i="13"/>
  <c r="C29" i="10"/>
  <c r="C29" i="12"/>
  <c r="C29" i="11"/>
  <c r="C29" i="8"/>
  <c r="C29" i="9"/>
  <c r="C29" i="7"/>
  <c r="C29" i="6"/>
  <c r="C29" i="5"/>
  <c r="C29" i="18"/>
  <c r="C29" i="34"/>
  <c r="C29" i="4"/>
  <c r="C29" i="26"/>
  <c r="C29" i="3"/>
  <c r="C29" i="2"/>
  <c r="C29" i="1"/>
  <c r="C28" i="30"/>
  <c r="C28" i="29"/>
  <c r="C28" i="28"/>
  <c r="C28" i="27"/>
  <c r="C28" i="17"/>
  <c r="C28" i="16"/>
  <c r="C28" i="15"/>
  <c r="C28" i="14"/>
  <c r="C28" i="13"/>
  <c r="C28" i="10"/>
  <c r="C28" i="12"/>
  <c r="C28" i="11"/>
  <c r="C28" i="8"/>
  <c r="C28" i="9"/>
  <c r="C28" i="6"/>
  <c r="C28" i="5"/>
  <c r="C28" i="18"/>
  <c r="C28" i="34"/>
  <c r="C28" i="4"/>
  <c r="C28" i="26"/>
  <c r="C28" i="3"/>
  <c r="C28" i="2"/>
  <c r="C28" i="1"/>
  <c r="C31" i="29"/>
  <c r="C18" i="11"/>
  <c r="C19" i="30"/>
  <c r="C19" i="18"/>
  <c r="C19" i="17"/>
  <c r="C19" i="16"/>
  <c r="C19" i="14"/>
  <c r="C19" i="13"/>
  <c r="C19" i="10"/>
  <c r="C19" i="8"/>
  <c r="C19" i="9"/>
  <c r="C19" i="4"/>
  <c r="C19" i="26"/>
  <c r="C19" i="1"/>
  <c r="C20" i="28"/>
  <c r="C20" i="10"/>
  <c r="C20" i="8"/>
  <c r="C22" i="34"/>
  <c r="C22" i="27"/>
  <c r="C22" i="30"/>
  <c r="C22" i="29"/>
  <c r="C22" i="28"/>
  <c r="C22" i="18"/>
  <c r="C22" i="17"/>
  <c r="C22" i="16"/>
  <c r="C22" i="15"/>
  <c r="C22" i="14"/>
  <c r="C22" i="13"/>
  <c r="C22" i="10"/>
  <c r="C22" i="12"/>
  <c r="C22" i="11"/>
  <c r="C22" i="8"/>
  <c r="C22" i="9"/>
  <c r="C22" i="7"/>
  <c r="C22" i="6"/>
  <c r="C22" i="5"/>
  <c r="C22" i="4"/>
  <c r="C22" i="26"/>
  <c r="C22" i="3"/>
  <c r="C22" i="2"/>
  <c r="C22" i="1"/>
  <c r="C37" i="10"/>
  <c r="C23" i="28"/>
  <c r="C23" i="18"/>
  <c r="C23" i="26"/>
  <c r="C23" i="1"/>
  <c r="C24" i="34"/>
  <c r="C24" i="27"/>
  <c r="C24" i="30"/>
  <c r="C24" i="29"/>
  <c r="C24" i="15"/>
  <c r="C24" i="13"/>
  <c r="C24" i="10"/>
  <c r="C24" i="12"/>
  <c r="C24" i="11"/>
  <c r="C24" i="5"/>
  <c r="C24" i="2"/>
  <c r="C26" i="34"/>
  <c r="C26" i="27"/>
  <c r="C26" i="30"/>
  <c r="C26" i="29"/>
  <c r="C26" i="28"/>
  <c r="C26" i="18"/>
  <c r="C26" i="17"/>
  <c r="C26" i="16"/>
  <c r="C26" i="15"/>
  <c r="C26" i="14"/>
  <c r="C26" i="13"/>
  <c r="C26" i="10"/>
  <c r="C26" i="12"/>
  <c r="C26" i="11"/>
  <c r="C26" i="8"/>
  <c r="C26" i="9"/>
  <c r="C26" i="7"/>
  <c r="C26" i="6"/>
  <c r="C26" i="5"/>
  <c r="C26" i="4"/>
  <c r="C26" i="26"/>
  <c r="C26" i="3"/>
  <c r="C26" i="2"/>
  <c r="C26" i="1"/>
  <c r="C32"/>
  <c r="C35" i="10"/>
  <c r="C35" i="13"/>
  <c r="C35" i="16"/>
  <c r="C35" i="18"/>
  <c r="C35" i="8"/>
  <c r="C35" i="29"/>
  <c r="C20" i="34" l="1"/>
  <c r="C23" i="27"/>
  <c r="C23" i="30"/>
  <c r="C24" i="28" l="1"/>
  <c r="C18" i="18"/>
  <c r="C20"/>
  <c r="D19" i="17"/>
  <c r="C24"/>
  <c r="C18" i="16"/>
  <c r="C24"/>
  <c r="C18" i="14"/>
  <c r="D19"/>
  <c r="E19" s="1"/>
  <c r="C20"/>
  <c r="C24"/>
  <c r="C18" i="10"/>
  <c r="C24" i="8"/>
  <c r="D19" i="9"/>
  <c r="E19" s="1"/>
  <c r="C18"/>
  <c r="C24"/>
  <c r="C18" i="6"/>
  <c r="C20"/>
  <c r="C24"/>
  <c r="C18" i="4"/>
  <c r="C23"/>
  <c r="C24"/>
  <c r="C24" i="26"/>
  <c r="C18" i="3"/>
  <c r="C23"/>
  <c r="C24"/>
  <c r="C18" i="1"/>
  <c r="C20"/>
  <c r="C24"/>
  <c r="D19" i="34"/>
  <c r="E19" s="1"/>
  <c r="D19" i="27"/>
  <c r="E19" s="1"/>
  <c r="E19" i="29"/>
  <c r="D19"/>
  <c r="D19" i="28"/>
  <c r="E19" s="1"/>
  <c r="D19" i="18"/>
  <c r="E19" s="1"/>
  <c r="E19" i="16"/>
  <c r="D19"/>
  <c r="D19" i="15"/>
  <c r="E19" s="1"/>
  <c r="E19" i="12"/>
  <c r="D19"/>
  <c r="E19" i="7"/>
  <c r="D19"/>
  <c r="E19" i="6"/>
  <c r="D19"/>
  <c r="E19" i="2"/>
  <c r="D19"/>
  <c r="E19" i="17" l="1"/>
  <c r="C27" i="29"/>
  <c r="D33" i="34"/>
  <c r="E33" s="1"/>
  <c r="D33" i="27"/>
  <c r="E33" s="1"/>
  <c r="D33" i="30"/>
  <c r="E33" s="1"/>
  <c r="E33" i="29"/>
  <c r="D33"/>
  <c r="D33" i="28"/>
  <c r="E33" s="1"/>
  <c r="D33" i="18"/>
  <c r="E33" s="1"/>
  <c r="D33" i="17"/>
  <c r="E33" s="1"/>
  <c r="D33" i="16"/>
  <c r="E33" s="1"/>
  <c r="D33" i="15"/>
  <c r="E33" s="1"/>
  <c r="D33" i="14"/>
  <c r="E33" s="1"/>
  <c r="D33" i="13"/>
  <c r="E33" s="1"/>
  <c r="E33" i="10"/>
  <c r="D33"/>
  <c r="D33" i="12"/>
  <c r="E33" s="1"/>
  <c r="E33" i="11"/>
  <c r="D33"/>
  <c r="D33" i="8"/>
  <c r="E33" s="1"/>
  <c r="D33" i="9"/>
  <c r="E33" s="1"/>
  <c r="D33" i="7"/>
  <c r="E33" s="1"/>
  <c r="D33" i="6"/>
  <c r="E33" s="1"/>
  <c r="D33" i="5"/>
  <c r="E33" s="1"/>
  <c r="D33" i="4"/>
  <c r="E33" s="1"/>
  <c r="D33" i="26"/>
  <c r="E33" s="1"/>
  <c r="D33" i="3"/>
  <c r="E33" s="1"/>
  <c r="D33" i="2"/>
  <c r="E33" s="1"/>
  <c r="C27" i="34"/>
  <c r="C17" s="1"/>
  <c r="C27" i="27"/>
  <c r="C17" s="1"/>
  <c r="C27" i="30"/>
  <c r="C27" i="28"/>
  <c r="C17" s="1"/>
  <c r="C27" i="18"/>
  <c r="C27" i="17"/>
  <c r="C27" i="16"/>
  <c r="C17" s="1"/>
  <c r="C27" i="15"/>
  <c r="C17" s="1"/>
  <c r="C27" i="14"/>
  <c r="C27" i="13"/>
  <c r="C17" s="1"/>
  <c r="C27" i="10"/>
  <c r="C27" i="12"/>
  <c r="C17" s="1"/>
  <c r="C27" i="11"/>
  <c r="C17" s="1"/>
  <c r="C27" i="8"/>
  <c r="C17" s="1"/>
  <c r="C27" i="9"/>
  <c r="C27" i="7"/>
  <c r="C17" s="1"/>
  <c r="C27" i="6"/>
  <c r="C17" s="1"/>
  <c r="C27" i="5"/>
  <c r="C17" s="1"/>
  <c r="C27" i="4"/>
  <c r="C17" s="1"/>
  <c r="C27" i="26"/>
  <c r="C17" s="1"/>
  <c r="C27" i="3"/>
  <c r="C17" s="1"/>
  <c r="C27" i="2"/>
  <c r="C17" s="1"/>
  <c r="C27" i="1"/>
  <c r="D33"/>
  <c r="E33" s="1"/>
  <c r="C17" i="29" l="1"/>
  <c r="C17" i="1"/>
  <c r="C17" i="30"/>
  <c r="F15"/>
  <c r="C17" i="17"/>
  <c r="F15"/>
  <c r="F15" i="14"/>
  <c r="C17"/>
  <c r="C17" i="10"/>
  <c r="C17" i="9"/>
  <c r="C17" i="18"/>
  <c r="D19" i="4"/>
  <c r="E19" s="1"/>
  <c r="D19" i="3"/>
  <c r="E19" s="1"/>
  <c r="D19" i="10"/>
  <c r="D19" i="11"/>
  <c r="E19" s="1"/>
  <c r="D19" i="30"/>
  <c r="E19" s="1"/>
  <c r="D19" i="1"/>
  <c r="D19" i="26"/>
  <c r="D19" i="5"/>
  <c r="E19" s="1"/>
  <c r="D21" i="28"/>
  <c r="E19" i="1" l="1"/>
  <c r="D19" i="8"/>
  <c r="E19" s="1"/>
  <c r="E19" i="26"/>
  <c r="E19" i="10"/>
  <c r="D19" i="13"/>
  <c r="E19" s="1"/>
  <c r="D25" i="34" l="1"/>
  <c r="E25" s="1"/>
  <c r="E25" i="29"/>
  <c r="D25" i="4"/>
  <c r="E25" s="1"/>
  <c r="E25" i="1"/>
  <c r="D25" i="27"/>
  <c r="E25" s="1"/>
  <c r="D25" i="30"/>
  <c r="E25" s="1"/>
  <c r="D25" i="29"/>
  <c r="D25" i="28"/>
  <c r="E25" s="1"/>
  <c r="D25" i="18"/>
  <c r="E25" s="1"/>
  <c r="D25" i="17"/>
  <c r="E25" s="1"/>
  <c r="D25" i="16"/>
  <c r="E25" s="1"/>
  <c r="D25" i="15"/>
  <c r="E25" s="1"/>
  <c r="D25" i="14"/>
  <c r="E25" s="1"/>
  <c r="D25" i="13"/>
  <c r="E25" s="1"/>
  <c r="D25" i="10"/>
  <c r="E25" s="1"/>
  <c r="D25" i="12"/>
  <c r="E25" s="1"/>
  <c r="D25" i="11"/>
  <c r="E25" s="1"/>
  <c r="D25" i="8"/>
  <c r="E25" s="1"/>
  <c r="D25" i="9"/>
  <c r="D25" i="7"/>
  <c r="E25" s="1"/>
  <c r="D25" i="6"/>
  <c r="E25" s="1"/>
  <c r="D25" i="5"/>
  <c r="E25" s="1"/>
  <c r="D25" i="26"/>
  <c r="E25" s="1"/>
  <c r="D25" i="3"/>
  <c r="E25" s="1"/>
  <c r="D25" i="1"/>
  <c r="E21" i="28"/>
  <c r="D25" i="2" l="1"/>
  <c r="E25" s="1"/>
  <c r="D21" i="26" l="1"/>
  <c r="E21" s="1"/>
  <c r="C34" i="29" l="1"/>
  <c r="C34" i="7"/>
  <c r="C34" i="6"/>
  <c r="D24" i="34"/>
  <c r="E24" s="1"/>
  <c r="E38"/>
  <c r="D38"/>
  <c r="D37"/>
  <c r="E37" s="1"/>
  <c r="C36"/>
  <c r="D36" s="1"/>
  <c r="D35"/>
  <c r="E35" s="1"/>
  <c r="C34"/>
  <c r="D32"/>
  <c r="D31"/>
  <c r="E31" s="1"/>
  <c r="D30"/>
  <c r="E30" s="1"/>
  <c r="D29"/>
  <c r="E29" s="1"/>
  <c r="D28"/>
  <c r="F15"/>
  <c r="D26"/>
  <c r="E26" s="1"/>
  <c r="D23"/>
  <c r="E23" s="1"/>
  <c r="D21"/>
  <c r="E21" s="1"/>
  <c r="D20"/>
  <c r="E20" s="1"/>
  <c r="E18"/>
  <c r="D18"/>
  <c r="D27" l="1"/>
  <c r="E27" s="1"/>
  <c r="C16"/>
  <c r="E34"/>
  <c r="D34"/>
  <c r="D22"/>
  <c r="E22" s="1"/>
  <c r="E32"/>
  <c r="E28"/>
  <c r="E36"/>
  <c r="D17" l="1"/>
  <c r="D16"/>
  <c r="C15"/>
  <c r="G15" s="1"/>
  <c r="E17" l="1"/>
  <c r="E16"/>
  <c r="D15"/>
  <c r="E15" l="1"/>
  <c r="D18" i="27" l="1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34" s="1"/>
  <c r="E34" s="1"/>
  <c r="D18" i="30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C34"/>
  <c r="D34" s="1"/>
  <c r="D18" i="29"/>
  <c r="E18" s="1"/>
  <c r="D20"/>
  <c r="D21"/>
  <c r="E21" s="1"/>
  <c r="D22"/>
  <c r="D23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D38"/>
  <c r="E38" s="1"/>
  <c r="E23"/>
  <c r="E37"/>
  <c r="C36"/>
  <c r="D36" s="1"/>
  <c r="E36" s="1"/>
  <c r="D18" i="28"/>
  <c r="E18" s="1"/>
  <c r="D20"/>
  <c r="E20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E37" i="18"/>
  <c r="D38"/>
  <c r="E38" s="1"/>
  <c r="D18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C36"/>
  <c r="D36" s="1"/>
  <c r="C34"/>
  <c r="F15" s="1"/>
  <c r="D18" i="17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D35"/>
  <c r="E35" s="1"/>
  <c r="D37"/>
  <c r="E37" s="1"/>
  <c r="D38"/>
  <c r="E38" s="1"/>
  <c r="C36"/>
  <c r="D36" s="1"/>
  <c r="E36" s="1"/>
  <c r="C34"/>
  <c r="D18" i="16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34" s="1"/>
  <c r="E34" s="1"/>
  <c r="D18" i="15"/>
  <c r="D20"/>
  <c r="E20" s="1"/>
  <c r="D21"/>
  <c r="E21" s="1"/>
  <c r="D22"/>
  <c r="E22" s="1"/>
  <c r="D23"/>
  <c r="E23" s="1"/>
  <c r="D24"/>
  <c r="D26"/>
  <c r="E26" s="1"/>
  <c r="D28"/>
  <c r="E28" s="1"/>
  <c r="D29"/>
  <c r="E29" s="1"/>
  <c r="D30"/>
  <c r="E30" s="1"/>
  <c r="D31"/>
  <c r="E31" s="1"/>
  <c r="D32"/>
  <c r="E32" s="1"/>
  <c r="D34"/>
  <c r="D35"/>
  <c r="E35" s="1"/>
  <c r="D37"/>
  <c r="E37" s="1"/>
  <c r="D38"/>
  <c r="E38" s="1"/>
  <c r="E18"/>
  <c r="E24"/>
  <c r="C36"/>
  <c r="D36" s="1"/>
  <c r="C34"/>
  <c r="D18" i="14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E34" s="1"/>
  <c r="D35"/>
  <c r="E35" s="1"/>
  <c r="D37"/>
  <c r="D38"/>
  <c r="E38" s="1"/>
  <c r="C36"/>
  <c r="C34"/>
  <c r="D18" i="13"/>
  <c r="E18" s="1"/>
  <c r="D20"/>
  <c r="E20" s="1"/>
  <c r="D21"/>
  <c r="E21" s="1"/>
  <c r="D22"/>
  <c r="E22" s="1"/>
  <c r="D23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23"/>
  <c r="E38"/>
  <c r="C36"/>
  <c r="D36" s="1"/>
  <c r="E36" s="1"/>
  <c r="C34"/>
  <c r="D34" s="1"/>
  <c r="D18" i="10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18" i="12"/>
  <c r="E18" s="1"/>
  <c r="D20"/>
  <c r="E20" s="1"/>
  <c r="D2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D35"/>
  <c r="E35" s="1"/>
  <c r="D37"/>
  <c r="E37" s="1"/>
  <c r="D38"/>
  <c r="E38" s="1"/>
  <c r="E32"/>
  <c r="C36"/>
  <c r="C34"/>
  <c r="D34" s="1"/>
  <c r="E34" s="1"/>
  <c r="D18" i="11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E34" s="1"/>
  <c r="D35"/>
  <c r="E35" s="1"/>
  <c r="D37"/>
  <c r="D38"/>
  <c r="E38" s="1"/>
  <c r="E37"/>
  <c r="C36"/>
  <c r="C34"/>
  <c r="D18" i="8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D37"/>
  <c r="E37" s="1"/>
  <c r="D38"/>
  <c r="E38" s="1"/>
  <c r="E35"/>
  <c r="C36"/>
  <c r="D36" s="1"/>
  <c r="E36" s="1"/>
  <c r="C34"/>
  <c r="D34" s="1"/>
  <c r="E34" s="1"/>
  <c r="D18" i="9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C34"/>
  <c r="D34" s="1"/>
  <c r="E34" s="1"/>
  <c r="D18" i="7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E34" s="1"/>
  <c r="D35"/>
  <c r="E35" s="1"/>
  <c r="D37"/>
  <c r="E37" s="1"/>
  <c r="D38"/>
  <c r="E38" s="1"/>
  <c r="C36"/>
  <c r="D36" s="1"/>
  <c r="D18" i="6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D32"/>
  <c r="E32" s="1"/>
  <c r="D34"/>
  <c r="E34" s="1"/>
  <c r="D35"/>
  <c r="D37"/>
  <c r="E37" s="1"/>
  <c r="D38"/>
  <c r="E38" s="1"/>
  <c r="E31"/>
  <c r="E35"/>
  <c r="C36"/>
  <c r="D36" s="1"/>
  <c r="D18" i="5"/>
  <c r="E18" s="1"/>
  <c r="D20"/>
  <c r="E20" s="1"/>
  <c r="D21"/>
  <c r="E21" s="1"/>
  <c r="D22"/>
  <c r="E22" s="1"/>
  <c r="D23"/>
  <c r="E23" s="1"/>
  <c r="D24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C34"/>
  <c r="D34" s="1"/>
  <c r="D18" i="4"/>
  <c r="E18" s="1"/>
  <c r="D20"/>
  <c r="D21"/>
  <c r="E21" s="1"/>
  <c r="D22"/>
  <c r="D23"/>
  <c r="E23" s="1"/>
  <c r="D24"/>
  <c r="E24" s="1"/>
  <c r="D26"/>
  <c r="E26" s="1"/>
  <c r="D28"/>
  <c r="E28" s="1"/>
  <c r="D29"/>
  <c r="E29" s="1"/>
  <c r="D30"/>
  <c r="D31"/>
  <c r="E31" s="1"/>
  <c r="D32"/>
  <c r="E32" s="1"/>
  <c r="D35"/>
  <c r="E35" s="1"/>
  <c r="D37"/>
  <c r="D38"/>
  <c r="E38" s="1"/>
  <c r="E37"/>
  <c r="C36"/>
  <c r="D36" s="1"/>
  <c r="E36" s="1"/>
  <c r="C34"/>
  <c r="D34" s="1"/>
  <c r="E34" s="1"/>
  <c r="C34" i="26"/>
  <c r="D34" s="1"/>
  <c r="D18"/>
  <c r="E18" s="1"/>
  <c r="D20"/>
  <c r="E20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18" i="3"/>
  <c r="E18" s="1"/>
  <c r="D20"/>
  <c r="E20" s="1"/>
  <c r="D21"/>
  <c r="E21" s="1"/>
  <c r="D22"/>
  <c r="E22" s="1"/>
  <c r="D23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D36" i="9" l="1"/>
  <c r="E36" s="1"/>
  <c r="F15"/>
  <c r="D34" i="10"/>
  <c r="F15"/>
  <c r="D34" i="28"/>
  <c r="E34" s="1"/>
  <c r="E34" i="17"/>
  <c r="E34" i="15"/>
  <c r="F15" i="11"/>
  <c r="D27" i="3"/>
  <c r="E27" s="1"/>
  <c r="D17"/>
  <c r="E17" s="1"/>
  <c r="E34" i="18"/>
  <c r="D34"/>
  <c r="E20" i="4"/>
  <c r="E34" i="10"/>
  <c r="D36" i="30"/>
  <c r="E36" s="1"/>
  <c r="E34"/>
  <c r="E36" i="18"/>
  <c r="E34" i="13"/>
  <c r="E36" i="11"/>
  <c r="D36"/>
  <c r="E36" i="7"/>
  <c r="E36" i="6"/>
  <c r="E34" i="5"/>
  <c r="D36" i="26"/>
  <c r="E36" s="1"/>
  <c r="E34"/>
  <c r="E23" i="3"/>
  <c r="E22" i="4"/>
  <c r="E30"/>
  <c r="E36" i="15"/>
  <c r="E36" i="12"/>
  <c r="D36"/>
  <c r="E36" i="5"/>
  <c r="D34" i="29"/>
  <c r="E34" s="1"/>
  <c r="E22"/>
  <c r="E21" i="12"/>
  <c r="E37" i="14"/>
  <c r="D36"/>
  <c r="E20" i="29"/>
  <c r="E24" i="5"/>
  <c r="C34" i="3"/>
  <c r="F15" s="1"/>
  <c r="D20" i="1"/>
  <c r="D21"/>
  <c r="D22"/>
  <c r="D23"/>
  <c r="D24"/>
  <c r="D26"/>
  <c r="D28"/>
  <c r="D31"/>
  <c r="D35"/>
  <c r="D36"/>
  <c r="D37"/>
  <c r="D38"/>
  <c r="D20" i="2"/>
  <c r="D21"/>
  <c r="D22"/>
  <c r="D23"/>
  <c r="D24"/>
  <c r="D26"/>
  <c r="D28"/>
  <c r="D29"/>
  <c r="D30"/>
  <c r="D31"/>
  <c r="D32"/>
  <c r="D35"/>
  <c r="D37"/>
  <c r="D38"/>
  <c r="C36"/>
  <c r="C34"/>
  <c r="D34" s="1"/>
  <c r="C34" i="1"/>
  <c r="D36" i="2" l="1"/>
  <c r="D34" i="3"/>
  <c r="E34" s="1"/>
  <c r="E38" i="1"/>
  <c r="E37"/>
  <c r="C16" i="3"/>
  <c r="C15" s="1"/>
  <c r="E31" i="1"/>
  <c r="E36" i="14"/>
  <c r="E28" i="1"/>
  <c r="E22"/>
  <c r="E20"/>
  <c r="E23"/>
  <c r="E21"/>
  <c r="E35"/>
  <c r="E36"/>
  <c r="E26"/>
  <c r="D34"/>
  <c r="E24"/>
  <c r="D18" i="2"/>
  <c r="E37"/>
  <c r="E38"/>
  <c r="D15" i="3" l="1"/>
  <c r="E15" s="1"/>
  <c r="G15"/>
  <c r="D16"/>
  <c r="E16" s="1"/>
  <c r="E34" i="1"/>
  <c r="E36" i="2"/>
  <c r="D18" i="1" l="1"/>
  <c r="E35" i="2"/>
  <c r="E18" i="1" l="1"/>
  <c r="E34" i="2"/>
  <c r="E32" l="1"/>
  <c r="F15" i="27" l="1"/>
  <c r="F15" i="13"/>
  <c r="F15" i="8"/>
  <c r="F15" i="26"/>
  <c r="F15" i="2"/>
  <c r="D27" i="27"/>
  <c r="E27" s="1"/>
  <c r="D27" i="18"/>
  <c r="E27" s="1"/>
  <c r="D27" i="17"/>
  <c r="E27" s="1"/>
  <c r="D27" i="13"/>
  <c r="E27" s="1"/>
  <c r="D27" i="8"/>
  <c r="E27" s="1"/>
  <c r="D27" i="26"/>
  <c r="E27" s="1"/>
  <c r="D27" i="2"/>
  <c r="D29" i="1"/>
  <c r="D30"/>
  <c r="D32"/>
  <c r="E31" i="2"/>
  <c r="D17" i="30" l="1"/>
  <c r="E17" s="1"/>
  <c r="F15" i="28"/>
  <c r="F15" i="16"/>
  <c r="F15" i="15"/>
  <c r="F15" i="12"/>
  <c r="F15" i="7"/>
  <c r="F15" i="6"/>
  <c r="F15" i="5"/>
  <c r="F15" i="4"/>
  <c r="F15" i="1"/>
  <c r="F15" i="29"/>
  <c r="D17" i="27"/>
  <c r="E17" s="1"/>
  <c r="C16"/>
  <c r="D27" i="30"/>
  <c r="E27" s="1"/>
  <c r="D27" i="29"/>
  <c r="E27" s="1"/>
  <c r="D27" i="28"/>
  <c r="E27" s="1"/>
  <c r="D17" i="18"/>
  <c r="E17" s="1"/>
  <c r="C16"/>
  <c r="C16" i="17"/>
  <c r="D17"/>
  <c r="E17" s="1"/>
  <c r="D27" i="16"/>
  <c r="E27" s="1"/>
  <c r="D27" i="15"/>
  <c r="E27" s="1"/>
  <c r="D27" i="14"/>
  <c r="E27" s="1"/>
  <c r="D17" i="13"/>
  <c r="E17" s="1"/>
  <c r="C16"/>
  <c r="D27" i="10"/>
  <c r="E27" s="1"/>
  <c r="D27" i="12"/>
  <c r="E27" s="1"/>
  <c r="D27" i="11"/>
  <c r="E27" s="1"/>
  <c r="C16" i="8"/>
  <c r="D17"/>
  <c r="E17" s="1"/>
  <c r="D27" i="9"/>
  <c r="E27" s="1"/>
  <c r="D27" i="7"/>
  <c r="E27" s="1"/>
  <c r="D27" i="6"/>
  <c r="E27" s="1"/>
  <c r="D27" i="5"/>
  <c r="E27" s="1"/>
  <c r="D27" i="4"/>
  <c r="D17" i="26"/>
  <c r="E17" s="1"/>
  <c r="C16"/>
  <c r="C16" i="2"/>
  <c r="D17"/>
  <c r="E30" i="1"/>
  <c r="E29"/>
  <c r="D27"/>
  <c r="E32"/>
  <c r="E30" i="2"/>
  <c r="C16" i="30" l="1"/>
  <c r="E27" i="4"/>
  <c r="C15" i="27"/>
  <c r="D16"/>
  <c r="E16" s="1"/>
  <c r="D17" i="29"/>
  <c r="E17" s="1"/>
  <c r="C16"/>
  <c r="D17" i="28"/>
  <c r="E17" s="1"/>
  <c r="C16"/>
  <c r="C15" i="18"/>
  <c r="D16"/>
  <c r="E16" s="1"/>
  <c r="C15" i="17"/>
  <c r="D16"/>
  <c r="E16" s="1"/>
  <c r="D17" i="16"/>
  <c r="E17" s="1"/>
  <c r="C16"/>
  <c r="D17" i="15"/>
  <c r="E17" s="1"/>
  <c r="C16"/>
  <c r="D17" i="14"/>
  <c r="E17" s="1"/>
  <c r="C16"/>
  <c r="G15" s="1"/>
  <c r="D16" i="13"/>
  <c r="E16" s="1"/>
  <c r="C15"/>
  <c r="D17" i="10"/>
  <c r="E17" s="1"/>
  <c r="C16"/>
  <c r="D17" i="12"/>
  <c r="E17" s="1"/>
  <c r="C16"/>
  <c r="D17" i="11"/>
  <c r="E17" s="1"/>
  <c r="C16"/>
  <c r="D16" i="8"/>
  <c r="E16" s="1"/>
  <c r="C15"/>
  <c r="D17" i="9"/>
  <c r="E17" s="1"/>
  <c r="C16"/>
  <c r="C16" i="7"/>
  <c r="D17"/>
  <c r="E17" s="1"/>
  <c r="D17" i="6"/>
  <c r="E17" s="1"/>
  <c r="C16"/>
  <c r="C16" i="5"/>
  <c r="D17"/>
  <c r="E17" s="1"/>
  <c r="D17" i="4"/>
  <c r="C16"/>
  <c r="C15" i="26"/>
  <c r="D16"/>
  <c r="E16" s="1"/>
  <c r="C15" i="2"/>
  <c r="D16"/>
  <c r="D17" i="1"/>
  <c r="C16"/>
  <c r="E27"/>
  <c r="E29" i="2"/>
  <c r="D15" i="27" l="1"/>
  <c r="E15" s="1"/>
  <c r="G15"/>
  <c r="D15" i="18"/>
  <c r="E15" s="1"/>
  <c r="G15"/>
  <c r="D15" i="17"/>
  <c r="E15" s="1"/>
  <c r="G15"/>
  <c r="D15" i="13"/>
  <c r="E15" s="1"/>
  <c r="G15"/>
  <c r="D15" i="26"/>
  <c r="E15" s="1"/>
  <c r="G15"/>
  <c r="D15" i="2"/>
  <c r="G15"/>
  <c r="D15" i="8"/>
  <c r="E15" s="1"/>
  <c r="G15"/>
  <c r="C15" i="30"/>
  <c r="D16"/>
  <c r="E16" s="1"/>
  <c r="E17" i="4"/>
  <c r="C15" i="29"/>
  <c r="D16"/>
  <c r="E16" s="1"/>
  <c r="D16" i="28"/>
  <c r="E16" s="1"/>
  <c r="C15"/>
  <c r="D16" i="16"/>
  <c r="E16" s="1"/>
  <c r="C15"/>
  <c r="D16" i="15"/>
  <c r="E16" s="1"/>
  <c r="C15"/>
  <c r="C15" i="14"/>
  <c r="D15" s="1"/>
  <c r="E15" s="1"/>
  <c r="D16"/>
  <c r="E16" s="1"/>
  <c r="D16" i="10"/>
  <c r="E16" s="1"/>
  <c r="C15"/>
  <c r="D16" i="12"/>
  <c r="E16" s="1"/>
  <c r="C15"/>
  <c r="C15" i="11"/>
  <c r="D16"/>
  <c r="E16" s="1"/>
  <c r="D16" i="9"/>
  <c r="E16" s="1"/>
  <c r="C15"/>
  <c r="C15" i="7"/>
  <c r="D16"/>
  <c r="E16" s="1"/>
  <c r="C15" i="6"/>
  <c r="D16"/>
  <c r="E16" s="1"/>
  <c r="C15" i="5"/>
  <c r="G15" s="1"/>
  <c r="D16"/>
  <c r="E16" s="1"/>
  <c r="C15" i="4"/>
  <c r="G15" s="1"/>
  <c r="D16"/>
  <c r="D16" i="1"/>
  <c r="C15"/>
  <c r="E17"/>
  <c r="E28" i="2"/>
  <c r="G15" i="1" l="1"/>
  <c r="D15" i="30"/>
  <c r="E15" s="1"/>
  <c r="G15"/>
  <c r="D15" i="28"/>
  <c r="E15" s="1"/>
  <c r="G15"/>
  <c r="D15" i="16"/>
  <c r="E15" s="1"/>
  <c r="G15"/>
  <c r="D15" i="15"/>
  <c r="E15" s="1"/>
  <c r="G15"/>
  <c r="D15" i="10"/>
  <c r="E15" s="1"/>
  <c r="G15"/>
  <c r="D15" i="12"/>
  <c r="E15" s="1"/>
  <c r="G15"/>
  <c r="D15" i="11"/>
  <c r="E15" s="1"/>
  <c r="G15"/>
  <c r="D15" i="9"/>
  <c r="E15" s="1"/>
  <c r="G15"/>
  <c r="D15" i="7"/>
  <c r="E15" s="1"/>
  <c r="G15"/>
  <c r="D15" i="6"/>
  <c r="E15" s="1"/>
  <c r="G15"/>
  <c r="D15" i="29"/>
  <c r="E15" s="1"/>
  <c r="G15"/>
  <c r="D15" i="4"/>
  <c r="E16"/>
  <c r="D15" i="5"/>
  <c r="E15" s="1"/>
  <c r="D15" i="1"/>
  <c r="E16"/>
  <c r="E27" i="2"/>
  <c r="E15" i="4" l="1"/>
  <c r="E15" i="1"/>
  <c r="E26" i="2"/>
  <c r="E24" l="1"/>
  <c r="E23" l="1"/>
  <c r="E22" l="1"/>
  <c r="E21" l="1"/>
  <c r="E20" l="1"/>
  <c r="E18" l="1"/>
  <c r="E17" l="1"/>
  <c r="E16" l="1"/>
  <c r="E15"/>
</calcChain>
</file>

<file path=xl/sharedStrings.xml><?xml version="1.0" encoding="utf-8"?>
<sst xmlns="http://schemas.openxmlformats.org/spreadsheetml/2006/main" count="1058" uniqueCount="67">
  <si>
    <t>Звіт</t>
  </si>
  <si>
    <t>Одиниця виміру: грн, коп.</t>
  </si>
  <si>
    <t>Показники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</si>
  <si>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</si>
  <si>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</si>
  <si>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</si>
  <si>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</si>
  <si>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</si>
  <si>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Вивіз сміття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</si>
  <si>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</si>
  <si>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</si>
  <si>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</si>
  <si>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</si>
  <si>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Соціальне забезпечення</t>
  </si>
  <si>
    <t>Інші виплати населенню (стипендія Поляка)</t>
  </si>
  <si>
    <t>Капітальні видатки</t>
  </si>
  <si>
    <t>Оплата комунальних послуг та енергоносіїв:</t>
  </si>
  <si>
    <t>Придбання обладнання і предметів довгострокового користування</t>
  </si>
  <si>
    <t>Капітальний ремонт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</si>
  <si>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</si>
  <si>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Поточні ремонти</t>
  </si>
  <si>
    <t>Періодичність: квартальна</t>
  </si>
  <si>
    <t>КЕКВ</t>
  </si>
  <si>
    <t xml:space="preserve">Установа                                                                                                        </t>
  </si>
  <si>
    <t xml:space="preserve">Територія                                                                                                     </t>
  </si>
  <si>
    <t>м. Запоріжжя,  Шевченківський район</t>
  </si>
  <si>
    <t xml:space="preserve">Організаційно-правова форма господарювання                               </t>
  </si>
  <si>
    <t>Комунальна організація (установа, заклад)</t>
  </si>
  <si>
    <t xml:space="preserve">Код та назва типової відомчої класифікації видатків та кредитування місцевих бюджетів     </t>
  </si>
  <si>
    <t xml:space="preserve"> 06 Орган з питань освіти і науки</t>
  </si>
  <si>
    <t xml:space="preserve">Код та назва програмної класифікації видатків та кредитування місцевих бюджетів                                                
</t>
  </si>
  <si>
    <t>0611021 Надання загальної середньої освіти закладами загальної середньої освіти (у тому числі з дошкільними підрозділами (відділенями, групами)</t>
  </si>
  <si>
    <t>про надходження та використання коштів</t>
  </si>
  <si>
    <t>Предмети, матеріали, обладнання та інвентар Депутатський фонд</t>
  </si>
  <si>
    <t>Оплата послуг (крім комунальних) Депутатський фонд</t>
  </si>
  <si>
    <t>Протипожежні заходи</t>
  </si>
  <si>
    <t xml:space="preserve">Запорізька гімназія №4 Запорізької міської ради </t>
  </si>
  <si>
    <t>Запорізька гімназія № 12 Запорізької міської ради</t>
  </si>
  <si>
    <t xml:space="preserve">Запорізька спеціалізована школа фізичної культури І-ІІІ ступенів № 18 Запорізької міської ради </t>
  </si>
  <si>
    <t xml:space="preserve">Запорізька гімназія № 19 Запорізької міської ради </t>
  </si>
  <si>
    <t xml:space="preserve">Запорізький академічний ліцей № 34 
Запорізької міської ради
</t>
  </si>
  <si>
    <t>Запорізька гімназія № 42 Запорізької міської ради</t>
  </si>
  <si>
    <t xml:space="preserve">Запорізька гімназія № 52 Запорізької міської ради  </t>
  </si>
  <si>
    <t xml:space="preserve">Запорізька загальноосвітня школа І-ІІ ступенів 
№ 53 Запорізької міської ради 
</t>
  </si>
  <si>
    <t xml:space="preserve">Запорізька  гімназія №55 Запорізької міської ради </t>
  </si>
  <si>
    <t>Запорізька гімназія № 60 Запорізької міської ради</t>
  </si>
  <si>
    <t>Запорізька гімназія №63 Запорізької міської ради</t>
  </si>
  <si>
    <t xml:space="preserve">Запорізька гімназія №64 Запорізької міської ради </t>
  </si>
  <si>
    <t>Запорізька гімназія № 65 Запорізької міської ради</t>
  </si>
  <si>
    <t xml:space="preserve">Запорізька гімназія № 77 Запорізької міської ради            </t>
  </si>
  <si>
    <t xml:space="preserve">Запорізька гімназія № 93 Запорізької міської ради  </t>
  </si>
  <si>
    <t>Запорізька гімназія № 95 Запорізької міської ради</t>
  </si>
  <si>
    <t xml:space="preserve">Запорізька гімназія №101 Запорізької міської ради
</t>
  </si>
  <si>
    <t>Запорізька гімназія №111 Запорізької міської ради</t>
  </si>
  <si>
    <t xml:space="preserve">Запорізький академічний ліцей «Вибір» Запорізької міської ради  </t>
  </si>
  <si>
    <t>Запорізький академічний ліцей «Перспектива» Запорізької міської ради</t>
  </si>
  <si>
    <t>Запорізька початкова школа «Прогрес» Запорізької міської ради</t>
  </si>
  <si>
    <t>Запорізька початкова школа «Світанок» Запорізької міської ради</t>
  </si>
  <si>
    <t>Запорізька початкова школа « Натхнення» Запорізької міської ради</t>
  </si>
  <si>
    <t xml:space="preserve">Запорізька початкова школа «Мрія» 
ім. О.М.Поради Запорізької міської ради
</t>
  </si>
  <si>
    <t>Видатки пов'язані з наданням підтримки внутрішньо переміщеним та/або евакуйованим особам у звязку із введенням военного стану</t>
  </si>
  <si>
    <t>Обладнання для облаштування найпростіших укриттів</t>
  </si>
  <si>
    <t>Оплата енергосервісу</t>
  </si>
  <si>
    <t>Надійшло коштів за звітний період (січень-грудень)</t>
  </si>
  <si>
    <t>Використано коштів за звітний період (січень-грудень)</t>
  </si>
  <si>
    <t>за ІV квартал 2023 року</t>
  </si>
  <si>
    <t xml:space="preserve">станом на 29.12.2023 очікуємо фінансування та оплату. 03.01.2023 запитати бухгалтерію чи здійснена оплата. 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</si>
</sst>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9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0" fillId="6" borderId="0" xfId="0" applyFont="1" applyFill="1" applyAlignment="1"/>
    <xf numFmtId="0" fontId="0" fillId="7" borderId="0" xfId="0" applyFont="1" applyFill="1" applyAlignment="1"/>
    <xf numFmtId="0" fontId="0" fillId="3" borderId="0" xfId="0" applyFont="1" applyFill="1" applyAlignment="1"/>
    <xf numFmtId="0" fontId="0" fillId="0" borderId="0" xfId="0" applyFont="1" applyFill="1" applyAlignment="1"/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4" fontId="0" fillId="0" borderId="0" xfId="0" applyNumberFormat="1" applyFont="1" applyAlignment="1"/>
    <xf numFmtId="0" fontId="11" fillId="0" borderId="0" xfId="0" applyFont="1" applyAlignment="1"/>
    <xf numFmtId="4" fontId="0" fillId="6" borderId="0" xfId="0" applyNumberFormat="1" applyFont="1" applyFill="1" applyAlignment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wrapText="1"/>
    </xf>
    <xf numFmtId="0" fontId="9" fillId="0" borderId="3" xfId="1" applyFont="1" applyFill="1" applyBorder="1" applyAlignment="1">
      <alignment horizontal="center" vertical="top"/>
    </xf>
    <xf numFmtId="4" fontId="9" fillId="0" borderId="3" xfId="1" applyNumberFormat="1" applyFont="1" applyFill="1" applyBorder="1" applyAlignment="1">
      <alignment horizontal="center"/>
    </xf>
    <xf numFmtId="4" fontId="12" fillId="0" borderId="3" xfId="1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9" fillId="0" borderId="3" xfId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11" fillId="6" borderId="0" xfId="0" applyNumberFormat="1" applyFont="1" applyFill="1" applyAlignment="1"/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view="pageBreakPreview" topLeftCell="A4" zoomScaleNormal="60" zoomScaleSheetLayoutView="100" workbookViewId="0">
      <selection activeCell="C32" sqref="C32"/>
    </sheetView>
  </sheetViews>
  <sheetFormatPr defaultColWidth="14.42578125" defaultRowHeight="15" customHeight="1"/>
  <cols>
    <col min="1" max="1" width="57.85546875" customWidth="1"/>
    <col min="2" max="2" width="10.85546875" customWidth="1"/>
    <col min="3" max="4" width="17.42578125" customWidth="1"/>
    <col min="5" max="7" width="0" hidden="1" customWidth="1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51.75" customHeight="1">
      <c r="A5" s="16" t="s">
        <v>23</v>
      </c>
      <c r="B5" s="45" t="s">
        <v>36</v>
      </c>
      <c r="C5" s="45"/>
      <c r="D5" s="45"/>
      <c r="E5" s="17"/>
    </row>
    <row r="6" spans="1:7">
      <c r="A6" s="16" t="s">
        <v>24</v>
      </c>
      <c r="B6" s="15" t="s">
        <v>25</v>
      </c>
      <c r="C6" s="14"/>
      <c r="D6" s="14"/>
      <c r="E6" s="14"/>
    </row>
    <row r="7" spans="1:7">
      <c r="A7" s="16" t="s">
        <v>26</v>
      </c>
      <c r="B7" s="15" t="s">
        <v>27</v>
      </c>
      <c r="C7" s="14"/>
      <c r="D7" s="14"/>
      <c r="E7" s="14"/>
    </row>
    <row r="8" spans="1:7" ht="25.5">
      <c r="A8" s="1" t="s">
        <v>28</v>
      </c>
      <c r="B8" s="15" t="s">
        <v>29</v>
      </c>
      <c r="C8" s="14"/>
      <c r="D8" s="14"/>
      <c r="E8" s="14"/>
    </row>
    <row r="9" spans="1:7" ht="43.5" customHeight="1">
      <c r="A9" s="1" t="s">
        <v>30</v>
      </c>
      <c r="B9" s="49" t="s">
        <v>31</v>
      </c>
      <c r="C9" s="49"/>
      <c r="D9" s="49"/>
      <c r="E9" s="14"/>
    </row>
    <row r="10" spans="1:7">
      <c r="A10" s="3" t="s">
        <v>21</v>
      </c>
    </row>
    <row r="11" spans="1:7">
      <c r="A11" s="3" t="s">
        <v>1</v>
      </c>
    </row>
    <row r="12" spans="1:7" s="6" customFormat="1" ht="16.5" customHeight="1">
      <c r="A12" s="46"/>
      <c r="B12" s="47"/>
      <c r="C12" s="47"/>
      <c r="D12" s="47"/>
    </row>
    <row r="13" spans="1:7" s="6" customFormat="1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 s="6" customFormat="1">
      <c r="A14" s="23">
        <v>1</v>
      </c>
      <c r="B14" s="23">
        <v>2</v>
      </c>
      <c r="C14" s="23">
        <v>3</v>
      </c>
      <c r="D14" s="23">
        <v>4</v>
      </c>
    </row>
    <row r="15" spans="1:7" s="9" customFormat="1" ht="15.75" customHeight="1">
      <c r="A15" s="23" t="s">
        <v>3</v>
      </c>
      <c r="B15" s="23" t="s">
        <v>4</v>
      </c>
      <c r="C15" s="27">
        <f>C16+C36</f>
        <v>1294220.3999999999</v>
      </c>
      <c r="D15" s="27">
        <f>C15</f>
        <v>1294220.3999999999</v>
      </c>
      <c r="E15" s="21">
        <f>C15-D15</f>
        <v>0</v>
      </c>
      <c r="F15" s="21">
        <f>C18+C19+C20+C21+C22+C23+C24+C25+C26+C27+C35+C36</f>
        <v>1294220.3999999999</v>
      </c>
      <c r="G15" s="21">
        <f>F15-C15</f>
        <v>0</v>
      </c>
    </row>
    <row r="16" spans="1:7" s="8" customFormat="1" ht="36" customHeight="1">
      <c r="A16" s="25" t="s">
        <v>19</v>
      </c>
      <c r="B16" s="23">
        <v>2000</v>
      </c>
      <c r="C16" s="27">
        <f>C17+C34</f>
        <v>1294220.3999999999</v>
      </c>
      <c r="D16" s="27">
        <f t="shared" ref="D16:D38" si="0">C16</f>
        <v>1294220.3999999999</v>
      </c>
      <c r="E16" s="21">
        <f t="shared" ref="E16:E38" si="1">C16-D16</f>
        <v>0</v>
      </c>
    </row>
    <row r="17" spans="1:5" s="10" customFormat="1" ht="15.75" customHeight="1">
      <c r="A17" s="22" t="s">
        <v>5</v>
      </c>
      <c r="B17" s="23">
        <v>2200</v>
      </c>
      <c r="C17" s="27">
        <f>C18+C20+C21+C22+C23+C24+C26+C27+C25+C19</f>
        <v>1294220.3999999999</v>
      </c>
      <c r="D17" s="27">
        <f t="shared" si="0"/>
        <v>1294220.3999999999</v>
      </c>
      <c r="E17" s="21">
        <f t="shared" si="1"/>
        <v>0</v>
      </c>
    </row>
    <row r="18" spans="1:5" s="11" customFormat="1" ht="15.75" customHeight="1">
      <c r="A18" s="28" t="s">
        <v>6</v>
      </c>
      <c r="B18" s="36">
        <v>2210</v>
      </c>
      <c r="C18" s="37">
        <f>5025</f>
        <v>5025</v>
      </c>
      <c r="D18" s="37">
        <f t="shared" si="0"/>
        <v>5025</v>
      </c>
      <c r="E18" s="21">
        <f t="shared" si="1"/>
        <v>0</v>
      </c>
    </row>
    <row r="19" spans="1:5" s="11" customFormat="1" ht="15.75" customHeight="1">
      <c r="A19" s="28" t="s">
        <v>61</v>
      </c>
      <c r="B19" s="36">
        <v>2210</v>
      </c>
      <c r="C19" s="37">
        <f>13000+19579</f>
        <v>32579</v>
      </c>
      <c r="D19" s="37">
        <f t="shared" si="0"/>
        <v>32579</v>
      </c>
      <c r="E19" s="21">
        <f t="shared" si="1"/>
        <v>0</v>
      </c>
    </row>
    <row r="20" spans="1:5" s="7" customFormat="1" ht="15.75" customHeight="1">
      <c r="A20" s="28" t="s">
        <v>33</v>
      </c>
      <c r="B20" s="36">
        <v>2210</v>
      </c>
      <c r="C20" s="38">
        <f>27995.01</f>
        <v>27995.01</v>
      </c>
      <c r="D20" s="38">
        <f t="shared" si="0"/>
        <v>27995.01</v>
      </c>
      <c r="E20" s="21">
        <f t="shared" si="1"/>
        <v>0</v>
      </c>
    </row>
    <row r="21" spans="1:5" s="12" customFormat="1" ht="15.75" customHeigh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 ht="15.75" customHeight="1">
      <c r="A22" s="22" t="s">
        <v>7</v>
      </c>
      <c r="B22" s="23">
        <v>2240</v>
      </c>
      <c r="C22" s="27">
        <f>3094.08+11156.18+13909.05</f>
        <v>28159.309999999998</v>
      </c>
      <c r="D22" s="27">
        <f t="shared" si="0"/>
        <v>28159.309999999998</v>
      </c>
      <c r="E22" s="21">
        <f t="shared" si="1"/>
        <v>0</v>
      </c>
    </row>
    <row r="23" spans="1:5" s="20" customFormat="1" ht="15.75" customHeight="1">
      <c r="A23" s="22" t="s">
        <v>34</v>
      </c>
      <c r="B23" s="23">
        <v>2240</v>
      </c>
      <c r="C23" s="42">
        <f>10000+60000</f>
        <v>70000</v>
      </c>
      <c r="D23" s="42">
        <f t="shared" si="0"/>
        <v>70000</v>
      </c>
      <c r="E23" s="21">
        <f t="shared" si="1"/>
        <v>0</v>
      </c>
    </row>
    <row r="24" spans="1:5" s="20" customFormat="1" ht="15.75" customHeight="1">
      <c r="A24" s="22" t="s">
        <v>20</v>
      </c>
      <c r="B24" s="23">
        <v>2240</v>
      </c>
      <c r="C24" s="42">
        <f>199993.23</f>
        <v>199993.23</v>
      </c>
      <c r="D24" s="42">
        <f t="shared" si="0"/>
        <v>199993.23</v>
      </c>
      <c r="E24" s="21">
        <f t="shared" si="1"/>
        <v>0</v>
      </c>
    </row>
    <row r="25" spans="1:5" s="20" customFormat="1" ht="29.25" customHeight="1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 s="20" customFormat="1" ht="15.75" customHeight="1">
      <c r="A26" s="22" t="s">
        <v>35</v>
      </c>
      <c r="B26" s="23">
        <v>2240</v>
      </c>
      <c r="C26" s="42">
        <f>5340+10680+10163.5</f>
        <v>26183.5</v>
      </c>
      <c r="D26" s="42">
        <f t="shared" si="0"/>
        <v>26183.5</v>
      </c>
      <c r="E26" s="21">
        <f t="shared" si="1"/>
        <v>0</v>
      </c>
    </row>
    <row r="27" spans="1:5" s="11" customFormat="1" ht="15.75" customHeight="1">
      <c r="A27" s="22" t="s">
        <v>16</v>
      </c>
      <c r="B27" s="23">
        <v>2270</v>
      </c>
      <c r="C27" s="27">
        <f>C28+C29+C30+C32+C33</f>
        <v>904285.34999999986</v>
      </c>
      <c r="D27" s="27">
        <f t="shared" si="0"/>
        <v>904285.34999999986</v>
      </c>
      <c r="E27" s="21">
        <f t="shared" si="1"/>
        <v>0</v>
      </c>
    </row>
    <row r="28" spans="1:5" s="6" customFormat="1" ht="15.75" customHeight="1">
      <c r="A28" s="24" t="s">
        <v>9</v>
      </c>
      <c r="B28" s="25">
        <v>2271</v>
      </c>
      <c r="C28" s="26">
        <f>189220.14+23306.26+65029.05+266206.23</f>
        <v>543761.67999999993</v>
      </c>
      <c r="D28" s="26">
        <f t="shared" si="0"/>
        <v>543761.67999999993</v>
      </c>
      <c r="E28" s="21">
        <f t="shared" si="1"/>
        <v>0</v>
      </c>
    </row>
    <row r="29" spans="1:5" s="6" customFormat="1" ht="15.75" customHeight="1">
      <c r="A29" s="24" t="s">
        <v>10</v>
      </c>
      <c r="B29" s="25">
        <v>2272</v>
      </c>
      <c r="C29" s="26">
        <f>5616.86+4538.88+3404.16+3886.42</f>
        <v>17446.32</v>
      </c>
      <c r="D29" s="26">
        <f t="shared" si="0"/>
        <v>17446.32</v>
      </c>
      <c r="E29" s="21">
        <f t="shared" si="1"/>
        <v>0</v>
      </c>
    </row>
    <row r="30" spans="1:5" s="6" customFormat="1" ht="15.75" customHeight="1">
      <c r="A30" s="24" t="s">
        <v>11</v>
      </c>
      <c r="B30" s="25">
        <v>2273</v>
      </c>
      <c r="C30" s="26">
        <f>41741.26+17795.07+64602.76</f>
        <v>124139.09</v>
      </c>
      <c r="D30" s="26">
        <f t="shared" si="0"/>
        <v>124139.09</v>
      </c>
      <c r="E30" s="21">
        <f t="shared" si="1"/>
        <v>0</v>
      </c>
    </row>
    <row r="31" spans="1:5" s="6" customFormat="1" ht="15.75" hidden="1" customHeight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 s="6" customFormat="1" ht="15.75" customHeight="1">
      <c r="A32" s="24" t="s">
        <v>8</v>
      </c>
      <c r="B32" s="25">
        <v>2275</v>
      </c>
      <c r="C32" s="26">
        <f>795.74+994.68+795.74</f>
        <v>2586.16</v>
      </c>
      <c r="D32" s="26">
        <f t="shared" si="0"/>
        <v>2586.16</v>
      </c>
      <c r="E32" s="21">
        <f t="shared" si="1"/>
        <v>0</v>
      </c>
    </row>
    <row r="33" spans="1:5" s="43" customFormat="1" ht="15.75" customHeight="1">
      <c r="A33" s="24" t="s">
        <v>62</v>
      </c>
      <c r="B33" s="25">
        <v>2276</v>
      </c>
      <c r="C33" s="26">
        <v>216352.1</v>
      </c>
      <c r="D33" s="26">
        <f t="shared" si="0"/>
        <v>216352.1</v>
      </c>
      <c r="E33" s="21">
        <f t="shared" si="1"/>
        <v>0</v>
      </c>
    </row>
    <row r="34" spans="1:5" s="10" customFormat="1" ht="15.75" customHeigh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 s="6" customFormat="1" ht="15.75" customHeight="1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 ht="15.75" customHeight="1">
      <c r="A36" s="23" t="s">
        <v>15</v>
      </c>
      <c r="B36" s="23">
        <v>3000</v>
      </c>
      <c r="C36" s="26">
        <v>0</v>
      </c>
      <c r="D36" s="26">
        <f t="shared" si="0"/>
        <v>0</v>
      </c>
      <c r="E36" s="21">
        <f t="shared" si="1"/>
        <v>0</v>
      </c>
    </row>
    <row r="37" spans="1:5" s="6" customFormat="1" ht="15.75" customHeight="1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 s="6" customFormat="1" ht="15.75" customHeight="1" thickBot="1">
      <c r="A38" s="5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s="6" customFormat="1" ht="15" customHeight="1">
      <c r="A39" s="4"/>
    </row>
    <row r="40" spans="1:5" s="6" customFormat="1" ht="35.450000000000003" customHeight="1">
      <c r="C40" s="19"/>
    </row>
    <row r="41" spans="1:5" s="6" customFormat="1" ht="15.75" customHeight="1"/>
    <row r="42" spans="1:5" s="6" customFormat="1" ht="15.75" customHeight="1"/>
    <row r="43" spans="1:5" s="6" customFormat="1" ht="36" customHeight="1"/>
    <row r="44" spans="1:5" s="6" customFormat="1" ht="15.75" customHeight="1"/>
    <row r="45" spans="1:5" s="6" customFormat="1" ht="15.75" customHeight="1"/>
    <row r="46" spans="1:5" s="7" customFormat="1" ht="15.75" customHeight="1"/>
    <row r="47" spans="1:5" s="7" customFormat="1" ht="15.75" customHeight="1"/>
    <row r="48" spans="1:5" s="7" customFormat="1" ht="15.75" customHeight="1"/>
    <row r="49" s="6" customFormat="1" ht="15.75" customHeight="1"/>
    <row r="50" s="6" customFormat="1" ht="15.75" customHeight="1"/>
    <row r="51" s="6" customFormat="1" ht="15.75" customHeight="1"/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  <row r="67" s="6" customFormat="1" ht="15.75" customHeight="1"/>
    <row r="68" s="6" customFormat="1" ht="15.75" customHeight="1"/>
    <row r="69" s="6" customFormat="1" ht="15.75" customHeight="1"/>
    <row r="70" s="6" customFormat="1" ht="15.75" customHeight="1"/>
    <row r="71" s="6" customFormat="1" ht="15.75" customHeight="1"/>
    <row r="72" s="6" customFormat="1" ht="15.75" customHeight="1"/>
    <row r="73" s="6" customFormat="1" ht="15.75" customHeight="1"/>
    <row r="74" s="6" customFormat="1" ht="15.75" customHeight="1"/>
    <row r="75" s="6" customFormat="1" ht="25.5" customHeight="1"/>
    <row r="76" s="6" customFormat="1" ht="15.75" customHeight="1"/>
    <row r="77" s="6" customFormat="1" ht="15.75" customHeight="1"/>
    <row r="78" s="6" customFormat="1" ht="42.6" customHeight="1"/>
    <row r="79" s="6" customFormat="1" ht="15.75" customHeight="1"/>
    <row r="80" s="6" customFormat="1" ht="15.75" customHeight="1"/>
    <row r="81" s="6" customFormat="1" ht="36" customHeight="1"/>
    <row r="82" s="6" customFormat="1" ht="15.75" customHeight="1"/>
    <row r="83" s="6" customFormat="1" ht="15.75" customHeight="1"/>
    <row r="84" s="7" customFormat="1" ht="15.75" customHeight="1"/>
    <row r="85" s="7" customFormat="1" ht="15.75" customHeight="1"/>
    <row r="86" s="7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25.5" customHeight="1"/>
    <row r="114" s="6" customFormat="1" ht="15.75" customHeight="1"/>
    <row r="115" s="6" customFormat="1" ht="15.75" customHeight="1"/>
    <row r="116" s="6" customFormat="1" ht="39" customHeight="1"/>
    <row r="117" s="6" customFormat="1" ht="15.75" customHeight="1"/>
    <row r="118" s="6" customFormat="1" ht="15.75" customHeight="1"/>
    <row r="119" s="6" customFormat="1" ht="36" customHeight="1"/>
    <row r="120" s="6" customFormat="1" ht="15.75" customHeight="1"/>
    <row r="121" s="6" customFormat="1" ht="15.75" customHeight="1"/>
    <row r="122" s="7" customFormat="1" ht="15.75" customHeight="1"/>
    <row r="123" s="7" customFormat="1" ht="15.75" customHeight="1"/>
    <row r="124" s="7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6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6" customFormat="1" ht="15.75" customHeight="1"/>
    <row r="145" s="6" customFormat="1" ht="15.75" customHeight="1"/>
    <row r="146" s="6" customFormat="1" ht="15.75" customHeight="1"/>
    <row r="147" s="6" customFormat="1" ht="15.75" customHeight="1"/>
    <row r="148" s="6" customFormat="1" ht="15.75" customHeight="1"/>
    <row r="149" s="6" customFormat="1" ht="15.75" customHeight="1"/>
    <row r="150" s="6" customFormat="1" ht="15.75" customHeight="1"/>
    <row r="151" s="6" customFormat="1" ht="25.5" customHeight="1"/>
    <row r="152" s="6" customFormat="1" ht="15.75" customHeight="1"/>
    <row r="153" s="6" customFormat="1" ht="15.75" customHeight="1"/>
    <row r="154" s="6" customFormat="1" ht="43.15" customHeight="1"/>
    <row r="155" s="6" customFormat="1" ht="20.25" customHeight="1"/>
    <row r="156" s="6" customFormat="1" ht="15.75" customHeight="1"/>
    <row r="157" s="6" customFormat="1" ht="36" customHeight="1"/>
    <row r="158" s="6" customFormat="1" ht="15.75" customHeight="1"/>
    <row r="159" s="6" customFormat="1" ht="15.75" customHeight="1"/>
    <row r="160" s="7" customFormat="1" ht="15.75" customHeight="1"/>
    <row r="161" s="7" customFormat="1" ht="15.75" customHeight="1"/>
    <row r="162" s="7" customFormat="1" ht="15.75" customHeight="1"/>
    <row r="163" s="6" customFormat="1" ht="15.75" customHeight="1"/>
    <row r="164" s="6" customFormat="1" ht="15.75" customHeight="1"/>
    <row r="165" s="6" customFormat="1" ht="15.75" customHeight="1"/>
    <row r="166" s="6" customFormat="1" ht="15.75" customHeight="1"/>
    <row r="167" s="6" customFormat="1" ht="15.75" customHeight="1"/>
    <row r="168" s="6" customFormat="1" ht="15.75" customHeight="1"/>
    <row r="169" s="6" customFormat="1" ht="15.75" customHeight="1"/>
    <row r="170" s="6" customFormat="1" ht="15.75" customHeight="1"/>
    <row r="171" s="6" customFormat="1" ht="15.75" customHeight="1"/>
    <row r="172" s="6" customFormat="1" ht="15.75" customHeight="1"/>
    <row r="173" s="6" customFormat="1" ht="15.75" customHeight="1"/>
    <row r="174" s="6" customFormat="1" ht="15.75" customHeight="1"/>
    <row r="175" s="6" customFormat="1" ht="15.75" customHeight="1"/>
    <row r="176" s="6" customFormat="1" ht="15.75" customHeight="1"/>
    <row r="177" s="6" customFormat="1" ht="15.75" customHeight="1"/>
    <row r="178" s="6" customFormat="1" ht="15.75" customHeight="1"/>
    <row r="179" s="6" customFormat="1" ht="15.75" customHeight="1"/>
    <row r="180" s="6" customFormat="1" ht="15.75" customHeight="1"/>
    <row r="181" s="6" customFormat="1" ht="15.75" customHeight="1"/>
    <row r="182" s="6" customFormat="1" ht="15.75" customHeight="1"/>
    <row r="183" s="6" customFormat="1" ht="15.75" customHeight="1"/>
    <row r="184" s="6" customFormat="1" ht="15.75" customHeight="1"/>
    <row r="185" s="6" customFormat="1" ht="15.75" customHeight="1"/>
    <row r="186" s="6" customFormat="1" ht="15.75" customHeight="1"/>
    <row r="187" s="6" customFormat="1" ht="15.75" customHeight="1"/>
    <row r="188" s="6" customFormat="1" ht="15.75" customHeight="1"/>
    <row r="189" s="6" customFormat="1" ht="25.5" customHeight="1"/>
    <row r="190" s="6" customFormat="1" ht="15.75" customHeight="1"/>
    <row r="191" s="6" customFormat="1" ht="16.149999999999999" customHeight="1"/>
    <row r="192" s="6" customFormat="1" ht="48" customHeight="1"/>
    <row r="193" s="6" customFormat="1" ht="15.75" customHeight="1"/>
    <row r="194" s="6" customFormat="1" ht="15.75" customHeight="1"/>
    <row r="195" s="6" customFormat="1" ht="36" customHeight="1"/>
    <row r="196" s="6" customFormat="1" ht="15.75" customHeight="1"/>
    <row r="197" s="6" customFormat="1" ht="15.75" customHeight="1"/>
    <row r="198" s="7" customFormat="1" ht="15.75" customHeight="1"/>
    <row r="199" s="7" customFormat="1" ht="15.75" customHeight="1"/>
    <row r="200" s="7" customFormat="1" ht="15.75" customHeight="1"/>
    <row r="201" s="6" customFormat="1" ht="15.75" customHeight="1"/>
    <row r="202" s="6" customFormat="1" ht="15.75" customHeight="1"/>
    <row r="203" s="6" customFormat="1" ht="15.75" customHeight="1"/>
    <row r="204" s="6" customFormat="1" ht="15.75" customHeight="1"/>
    <row r="205" s="6" customFormat="1" ht="15.75" customHeight="1"/>
    <row r="206" s="6" customFormat="1" ht="15.75" customHeight="1"/>
    <row r="207" s="6" customFormat="1" ht="15.75" customHeight="1"/>
    <row r="208" s="6" customFormat="1" ht="15.75" customHeight="1"/>
    <row r="209" s="6" customFormat="1" ht="15.75" customHeight="1"/>
    <row r="210" s="6" customFormat="1" ht="15.75" customHeight="1"/>
    <row r="211" s="6" customFormat="1" ht="15.75" customHeight="1"/>
    <row r="212" s="6" customFormat="1" ht="15.75" customHeight="1"/>
    <row r="213" s="6" customFormat="1" ht="15.75" customHeight="1"/>
    <row r="214" s="6" customFormat="1" ht="15.75" customHeight="1"/>
    <row r="215" s="6" customFormat="1" ht="15.75" customHeight="1"/>
    <row r="216" s="6" customFormat="1" ht="15.75" customHeight="1"/>
    <row r="217" s="6" customFormat="1" ht="15.75" customHeight="1"/>
    <row r="218" s="6" customFormat="1" ht="15.75" customHeight="1"/>
    <row r="219" s="6" customFormat="1" ht="15.75" customHeight="1"/>
    <row r="220" s="6" customFormat="1" ht="15.75" customHeight="1"/>
    <row r="221" s="6" customFormat="1" ht="15.75" customHeight="1"/>
    <row r="222" s="6" customFormat="1" ht="15.75" customHeight="1"/>
    <row r="223" s="6" customFormat="1" ht="15.75" customHeight="1"/>
    <row r="224" s="6" customFormat="1" ht="15.75" customHeight="1"/>
    <row r="225" s="6" customFormat="1" ht="15.75" customHeight="1"/>
    <row r="226" s="6" customFormat="1" ht="15.75" customHeight="1"/>
    <row r="227" s="6" customFormat="1" ht="25.5" customHeight="1"/>
    <row r="228" s="6" customFormat="1" ht="15.75" customHeight="1"/>
    <row r="229" s="6" customFormat="1" ht="15.75" customHeight="1"/>
    <row r="230" s="6" customFormat="1" ht="50.45" customHeight="1"/>
    <row r="231" s="6" customFormat="1" ht="15.75" customHeight="1"/>
    <row r="232" s="6" customFormat="1" ht="15.75" customHeight="1"/>
    <row r="233" s="6" customFormat="1" ht="36" customHeight="1"/>
    <row r="234" s="6" customFormat="1" ht="15.75" customHeight="1"/>
    <row r="235" s="6" customFormat="1" ht="15.75" customHeight="1"/>
    <row r="236" s="7" customFormat="1" ht="15.75" customHeight="1"/>
    <row r="237" s="7" customFormat="1" ht="15.75" customHeight="1"/>
    <row r="238" s="7" customFormat="1" ht="15.75" customHeight="1"/>
    <row r="239" s="6" customFormat="1" ht="15.75" customHeight="1"/>
    <row r="240" s="6" customFormat="1" ht="15.75" customHeight="1"/>
    <row r="241" s="6" customFormat="1" ht="15.75" customHeight="1"/>
    <row r="242" s="6" customFormat="1" ht="15.75" customHeight="1"/>
    <row r="243" s="6" customFormat="1" ht="15.75" customHeight="1"/>
    <row r="244" s="6" customFormat="1" ht="15.75" customHeight="1"/>
    <row r="245" s="6" customFormat="1" ht="15.75" customHeight="1"/>
    <row r="246" s="6" customFormat="1" ht="15.75" customHeight="1"/>
    <row r="247" s="6" customFormat="1" ht="15.75" customHeight="1"/>
    <row r="248" s="6" customFormat="1" ht="15.75" customHeight="1"/>
    <row r="249" s="6" customFormat="1" ht="15.75" customHeight="1"/>
    <row r="250" s="6" customFormat="1" ht="15.75" customHeight="1"/>
    <row r="251" s="6" customFormat="1" ht="15.75" customHeight="1"/>
    <row r="252" s="6" customFormat="1" ht="15.75" customHeight="1"/>
    <row r="253" s="6" customFormat="1" ht="15.75" customHeight="1"/>
    <row r="254" s="6" customFormat="1" ht="15.75" customHeight="1"/>
    <row r="255" s="6" customFormat="1" ht="15.75" customHeight="1"/>
    <row r="256" s="6" customFormat="1" ht="15.75" customHeight="1"/>
    <row r="257" s="6" customFormat="1" ht="15.75" customHeight="1"/>
    <row r="258" s="6" customFormat="1" ht="15.75" customHeight="1"/>
    <row r="259" s="6" customFormat="1" ht="15.75" customHeight="1"/>
    <row r="260" s="6" customFormat="1" ht="15.75" customHeight="1"/>
    <row r="261" s="6" customFormat="1" ht="15.75" customHeight="1"/>
    <row r="262" s="6" customFormat="1" ht="15.75" customHeight="1"/>
    <row r="263" s="6" customFormat="1" ht="15.75" customHeight="1"/>
    <row r="264" s="6" customFormat="1" ht="15.75" customHeight="1"/>
    <row r="265" s="6" customFormat="1" ht="25.5" customHeight="1"/>
    <row r="266" s="6" customFormat="1" ht="15.75" customHeight="1"/>
    <row r="267" s="6" customFormat="1" ht="15.75" customHeight="1"/>
    <row r="268" s="6" customFormat="1" ht="44.45" customHeight="1"/>
    <row r="269" s="6" customFormat="1" ht="15.75" customHeight="1"/>
    <row r="270" s="6" customFormat="1" ht="15.75" customHeight="1"/>
    <row r="271" s="6" customFormat="1" ht="36" customHeight="1"/>
    <row r="272" s="6" customFormat="1" ht="15.75" customHeight="1"/>
    <row r="273" s="6" customFormat="1" ht="15.75" customHeight="1"/>
    <row r="274" s="7" customFormat="1" ht="15.75" customHeight="1"/>
    <row r="275" s="7" customFormat="1" ht="15.75" customHeight="1"/>
    <row r="276" s="7" customFormat="1" ht="15.75" customHeight="1"/>
    <row r="277" s="6" customFormat="1" ht="15.75" customHeight="1"/>
    <row r="278" s="6" customFormat="1" ht="15.75" customHeight="1"/>
    <row r="279" s="6" customFormat="1" ht="15.75" customHeight="1"/>
    <row r="280" s="6" customFormat="1" ht="15.75" customHeight="1"/>
    <row r="281" s="6" customFormat="1" ht="15.75" customHeight="1"/>
    <row r="282" s="6" customFormat="1" ht="15.75" customHeight="1"/>
    <row r="283" s="6" customFormat="1" ht="15.75" customHeight="1"/>
    <row r="284" s="6" customFormat="1" ht="15.75" customHeight="1"/>
    <row r="285" s="6" customFormat="1" ht="15.75" customHeight="1"/>
    <row r="286" s="6" customFormat="1" ht="15.75" customHeight="1"/>
    <row r="287" s="6" customFormat="1" ht="15.75" customHeight="1"/>
    <row r="288" s="6" customFormat="1" ht="15.75" customHeight="1"/>
    <row r="289" s="6" customFormat="1" ht="15.75" customHeight="1"/>
    <row r="290" s="6" customFormat="1" ht="15.75" customHeight="1"/>
    <row r="291" s="6" customFormat="1" ht="15.75" customHeight="1"/>
    <row r="292" s="6" customFormat="1" ht="15.75" customHeight="1"/>
    <row r="293" s="6" customFormat="1" ht="15.75" customHeight="1"/>
    <row r="294" s="6" customFormat="1" ht="15.75" customHeight="1"/>
    <row r="295" s="6" customFormat="1" ht="15.75" customHeight="1"/>
    <row r="296" s="6" customFormat="1" ht="15.75" customHeight="1"/>
    <row r="297" s="6" customFormat="1" ht="15.75" customHeight="1"/>
    <row r="298" s="6" customFormat="1" ht="15.75" customHeight="1"/>
    <row r="299" s="6" customFormat="1" ht="15.75" customHeight="1"/>
    <row r="300" s="6" customFormat="1" ht="15.75" customHeight="1"/>
    <row r="301" s="6" customFormat="1" ht="15.75" customHeight="1"/>
    <row r="302" s="6" customFormat="1" ht="15.75" customHeight="1"/>
    <row r="303" s="6" customFormat="1" ht="25.5" customHeight="1"/>
    <row r="304" s="6" customFormat="1" ht="15.75" customHeight="1"/>
    <row r="305" s="6" customFormat="1" ht="15.75" customHeight="1"/>
    <row r="306" s="6" customFormat="1" ht="46.9" customHeight="1"/>
    <row r="307" s="6" customFormat="1" ht="15.75" customHeight="1"/>
    <row r="308" s="6" customFormat="1" ht="15.75" customHeight="1"/>
    <row r="309" s="6" customFormat="1" ht="36" customHeight="1"/>
    <row r="310" s="6" customFormat="1" ht="15.75" customHeight="1"/>
    <row r="311" s="6" customFormat="1" ht="15.75" customHeight="1"/>
    <row r="312" s="7" customFormat="1" ht="15.75" customHeight="1"/>
    <row r="313" s="7" customFormat="1" ht="15.75" customHeight="1"/>
    <row r="314" s="7" customFormat="1" ht="15.75" customHeight="1"/>
    <row r="315" s="6" customFormat="1" ht="15.75" customHeight="1"/>
    <row r="316" s="6" customFormat="1" ht="15.75" customHeight="1"/>
    <row r="317" s="6" customFormat="1" ht="15.75" customHeight="1"/>
    <row r="318" s="6" customFormat="1" ht="15.75" customHeight="1"/>
    <row r="319" s="6" customFormat="1" ht="15.75" customHeight="1"/>
    <row r="320" s="6" customFormat="1" ht="15.75" customHeight="1"/>
    <row r="321" s="6" customFormat="1" ht="15.75" customHeight="1"/>
    <row r="322" s="6" customFormat="1" ht="15.75" customHeight="1"/>
    <row r="323" s="6" customFormat="1" ht="15.75" customHeight="1"/>
    <row r="324" s="6" customFormat="1" ht="15.75" customHeight="1"/>
    <row r="325" s="6" customFormat="1" ht="15.75" customHeight="1"/>
    <row r="326" s="6" customFormat="1" ht="15.75" customHeight="1"/>
    <row r="327" s="6" customFormat="1" ht="15.75" customHeight="1"/>
    <row r="328" s="6" customFormat="1" ht="15.75" customHeight="1"/>
    <row r="329" s="6" customFormat="1" ht="15.75" customHeight="1"/>
    <row r="330" s="6" customFormat="1" ht="15.75" customHeight="1"/>
    <row r="331" s="6" customFormat="1" ht="15.75" customHeight="1"/>
    <row r="332" s="6" customFormat="1" ht="15.75" customHeight="1"/>
    <row r="333" s="6" customFormat="1" ht="15.75" customHeight="1"/>
    <row r="334" s="6" customFormat="1" ht="15.75" customHeight="1"/>
    <row r="335" s="6" customFormat="1" ht="15.75" customHeight="1"/>
    <row r="336" s="6" customFormat="1" ht="15.75" customHeight="1"/>
    <row r="337" s="6" customFormat="1" ht="15.75" customHeight="1"/>
    <row r="338" s="6" customFormat="1" ht="15.75" customHeight="1"/>
    <row r="339" s="6" customFormat="1" ht="15.75" customHeight="1"/>
    <row r="340" s="6" customFormat="1" ht="15.75" customHeight="1"/>
    <row r="341" s="6" customFormat="1" ht="25.5" customHeight="1"/>
    <row r="342" s="6" customFormat="1" ht="15.75" customHeight="1"/>
    <row r="343" s="6" customFormat="1" ht="15.75" customHeight="1"/>
    <row r="344" s="6" customFormat="1" ht="51" customHeight="1"/>
    <row r="345" s="6" customFormat="1" ht="15.75" customHeight="1"/>
    <row r="346" s="6" customFormat="1" ht="15.75" customHeight="1"/>
    <row r="347" s="6" customFormat="1" ht="36" customHeight="1"/>
    <row r="348" s="6" customFormat="1" ht="15.75" customHeight="1"/>
    <row r="349" s="6" customFormat="1" ht="15.75" customHeight="1"/>
    <row r="350" s="7" customFormat="1" ht="15.75" customHeight="1"/>
    <row r="351" s="7" customFormat="1" ht="15.75" customHeight="1"/>
    <row r="352" s="7" customFormat="1" ht="15.75" customHeight="1"/>
    <row r="353" s="6" customFormat="1" ht="15.75" customHeight="1"/>
    <row r="354" s="6" customFormat="1" ht="15.75" customHeight="1"/>
    <row r="355" s="6" customFormat="1" ht="15.75" customHeight="1"/>
    <row r="356" s="6" customFormat="1" ht="15.75" customHeight="1"/>
    <row r="357" s="6" customFormat="1" ht="15.75" customHeight="1"/>
    <row r="358" s="6" customFormat="1" ht="15.75" customHeight="1"/>
    <row r="359" s="6" customFormat="1" ht="15.75" customHeight="1"/>
    <row r="360" s="6" customFormat="1" ht="15.75" customHeight="1"/>
    <row r="361" s="6" customFormat="1" ht="15.75" customHeight="1"/>
    <row r="362" s="6" customFormat="1" ht="15.75" customHeight="1"/>
    <row r="363" s="6" customFormat="1" ht="15.75" customHeight="1"/>
    <row r="364" s="6" customFormat="1" ht="15.75" customHeight="1"/>
    <row r="365" s="6" customFormat="1" ht="15.75" customHeight="1"/>
    <row r="366" s="6" customFormat="1" ht="15.75" customHeight="1"/>
    <row r="367" s="6" customFormat="1" ht="15.75" customHeight="1"/>
    <row r="368" s="6" customFormat="1" ht="15.75" customHeight="1"/>
    <row r="369" s="6" customFormat="1" ht="15.75" customHeight="1"/>
    <row r="370" s="6" customFormat="1" ht="15.75" customHeight="1"/>
    <row r="371" s="6" customFormat="1" ht="15.75" customHeight="1"/>
    <row r="372" s="6" customFormat="1" ht="15.75" customHeight="1"/>
    <row r="373" s="6" customFormat="1" ht="15.75" customHeight="1"/>
    <row r="374" s="6" customFormat="1" ht="15.75" customHeight="1"/>
    <row r="375" s="6" customFormat="1" ht="15.75" customHeight="1"/>
    <row r="376" s="6" customFormat="1" ht="15.75" customHeight="1"/>
    <row r="377" s="6" customFormat="1" ht="15.75" customHeight="1"/>
    <row r="378" s="6" customFormat="1" ht="15.75" customHeight="1"/>
    <row r="379" s="6" customFormat="1" ht="25.5" customHeight="1"/>
    <row r="380" s="6" customFormat="1" ht="15.75" customHeight="1"/>
    <row r="381" s="6" customFormat="1" ht="15.75" customHeight="1"/>
    <row r="382" s="6" customFormat="1" ht="51" customHeight="1"/>
    <row r="383" s="6" customFormat="1" ht="15.75" customHeight="1"/>
    <row r="384" s="6" customFormat="1" ht="15.75" customHeight="1"/>
    <row r="385" s="6" customFormat="1" ht="36" customHeight="1"/>
    <row r="386" s="6" customFormat="1" ht="15.75" customHeight="1"/>
    <row r="387" s="6" customFormat="1" ht="15.75" customHeight="1"/>
    <row r="388" s="7" customFormat="1" ht="15.75" customHeight="1"/>
    <row r="389" s="7" customFormat="1" ht="15.75" customHeight="1"/>
    <row r="390" s="7" customFormat="1" ht="15.75" customHeight="1"/>
    <row r="391" s="6" customFormat="1" ht="15.75" customHeight="1"/>
    <row r="392" s="6" customFormat="1" ht="15.75" customHeight="1"/>
    <row r="393" s="6" customFormat="1" ht="15.75" customHeight="1"/>
    <row r="394" s="6" customFormat="1" ht="15.75" customHeight="1"/>
    <row r="395" s="6" customFormat="1" ht="15.75" customHeight="1"/>
    <row r="396" s="6" customFormat="1" ht="15.75" customHeight="1"/>
    <row r="397" s="6" customFormat="1" ht="15.75" customHeight="1"/>
    <row r="398" s="6" customFormat="1" ht="15.75" customHeight="1"/>
    <row r="399" s="6" customFormat="1" ht="15.75" customHeight="1"/>
    <row r="400" s="6" customFormat="1" ht="15.75" customHeight="1"/>
    <row r="401" s="6" customFormat="1" ht="15.75" customHeight="1"/>
    <row r="402" s="6" customFormat="1" ht="15.75" customHeight="1"/>
    <row r="403" s="6" customFormat="1" ht="15.75" customHeight="1"/>
    <row r="404" s="6" customFormat="1" ht="15.75" customHeight="1"/>
    <row r="405" s="6" customFormat="1" ht="15.75" customHeight="1"/>
    <row r="406" s="6" customFormat="1" ht="15.75" customHeight="1"/>
    <row r="407" s="6" customFormat="1" ht="15.75" customHeight="1"/>
    <row r="408" s="6" customFormat="1" ht="15.75" customHeight="1"/>
    <row r="409" s="6" customFormat="1" ht="15.75" customHeight="1"/>
    <row r="410" s="6" customFormat="1" ht="15.75" customHeight="1"/>
    <row r="411" s="6" customFormat="1" ht="15.75" customHeight="1"/>
    <row r="412" s="6" customFormat="1" ht="15.75" customHeight="1"/>
    <row r="413" s="6" customFormat="1" ht="15.75" customHeight="1"/>
    <row r="414" s="6" customFormat="1" ht="15.75" customHeight="1"/>
    <row r="415" s="6" customFormat="1" ht="15.75" customHeight="1"/>
    <row r="416" s="6" customFormat="1" ht="15.75" customHeight="1"/>
    <row r="417" s="6" customFormat="1" ht="25.5" customHeight="1"/>
    <row r="418" s="6" customFormat="1" ht="15.75" customHeight="1"/>
    <row r="419" s="6" customFormat="1" ht="15.75" customHeight="1"/>
    <row r="420" s="6" customFormat="1" ht="61.15" customHeight="1"/>
    <row r="421" s="6" customFormat="1" ht="15.75" customHeight="1"/>
    <row r="422" s="6" customFormat="1" ht="15.75" customHeight="1"/>
    <row r="423" s="6" customFormat="1" ht="36" customHeight="1"/>
    <row r="424" s="6" customFormat="1" ht="15.75" customHeight="1"/>
    <row r="425" s="6" customFormat="1" ht="15.75" customHeight="1"/>
    <row r="426" s="7" customFormat="1" ht="15.75" customHeight="1"/>
    <row r="427" s="7" customFormat="1" ht="15.75" customHeight="1"/>
    <row r="428" s="7" customFormat="1" ht="15.75" customHeight="1"/>
    <row r="429" s="6" customFormat="1" ht="15.75" customHeight="1"/>
    <row r="430" s="6" customFormat="1" ht="15.75" customHeight="1"/>
    <row r="431" s="6" customFormat="1" ht="15.75" customHeight="1"/>
    <row r="432" s="6" customFormat="1" ht="15.75" customHeight="1"/>
    <row r="433" s="6" customFormat="1" ht="15.75" customHeight="1"/>
    <row r="434" s="6" customFormat="1" ht="15.75" customHeight="1"/>
    <row r="435" s="6" customFormat="1" ht="15.75" customHeight="1"/>
    <row r="436" s="6" customFormat="1" ht="15.75" customHeight="1"/>
    <row r="437" s="6" customFormat="1" ht="15.75" customHeight="1"/>
    <row r="438" s="6" customFormat="1" ht="15.75" customHeight="1"/>
    <row r="439" s="6" customFormat="1" ht="15.75" customHeight="1"/>
    <row r="440" s="6" customFormat="1" ht="15.75" customHeight="1"/>
    <row r="441" s="6" customFormat="1" ht="15.75" customHeight="1"/>
    <row r="442" s="6" customFormat="1" ht="15.75" customHeight="1"/>
    <row r="443" s="6" customFormat="1" ht="15.75" customHeight="1"/>
    <row r="444" s="6" customFormat="1" ht="15.75" customHeight="1"/>
    <row r="445" s="6" customFormat="1" ht="15.75" customHeight="1"/>
    <row r="446" s="6" customFormat="1" ht="15.75" customHeight="1"/>
    <row r="447" s="6" customFormat="1" ht="15.75" customHeight="1"/>
    <row r="448" s="6" customFormat="1" ht="15.75" customHeight="1"/>
    <row r="449" s="6" customFormat="1" ht="15.75" customHeight="1"/>
    <row r="450" s="6" customFormat="1" ht="15.75" customHeight="1"/>
    <row r="451" s="6" customFormat="1" ht="15.75" customHeight="1"/>
    <row r="452" s="6" customFormat="1" ht="15.75" customHeight="1"/>
    <row r="453" s="6" customFormat="1" ht="15.75" customHeight="1"/>
    <row r="454" s="6" customFormat="1" ht="15.75" customHeight="1"/>
    <row r="455" s="6" customFormat="1" ht="25.5" customHeight="1"/>
    <row r="456" s="6" customFormat="1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</sheetData>
  <mergeCells count="6">
    <mergeCell ref="B5:D5"/>
    <mergeCell ref="A12:D12"/>
    <mergeCell ref="A1:D1"/>
    <mergeCell ref="A3:D3"/>
    <mergeCell ref="A2:D2"/>
    <mergeCell ref="B9:D9"/>
  </mergeCells>
  <pageMargins left="0.70866141732283472" right="0.70866141732283472" top="0.55118110236220474" bottom="0.35433070866141736" header="0" footer="0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45" customHeight="1">
      <c r="A5" s="16" t="s">
        <v>23</v>
      </c>
      <c r="B5" s="45" t="s">
        <v>45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1078072.3</v>
      </c>
      <c r="D15" s="27">
        <f>C15</f>
        <v>1078072.3</v>
      </c>
      <c r="E15" s="21">
        <f>C15-D15</f>
        <v>0</v>
      </c>
      <c r="F15" s="21">
        <f>C18+C19+C20+C21+C22+C23+C24+C25+C26+C27+C34+C36</f>
        <v>1078072.3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1078072.3</v>
      </c>
      <c r="D16" s="27">
        <f t="shared" ref="D16:D38" si="0">C16</f>
        <v>1078072.3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1074412.3</v>
      </c>
      <c r="D17" s="27">
        <f t="shared" si="0"/>
        <v>1074412.3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5609.6+19182.4+20861.5</f>
        <v>45653.5</v>
      </c>
      <c r="D19" s="37">
        <f t="shared" si="0"/>
        <v>45653.5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>
        <f>24272.4+5661.18</f>
        <v>29933.58</v>
      </c>
      <c r="D20" s="31">
        <f t="shared" si="0"/>
        <v>29933.58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31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2928.5+11986.18+50329.05</f>
        <v>65243.73</v>
      </c>
      <c r="D22" s="27">
        <f t="shared" si="0"/>
        <v>65243.73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33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130580.38</f>
        <v>130580.38</v>
      </c>
      <c r="D24" s="33">
        <f t="shared" si="0"/>
        <v>130580.38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3248.5</f>
        <v>3248.5</v>
      </c>
      <c r="D26" s="33">
        <f t="shared" si="0"/>
        <v>3248.5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799752.6100000001</v>
      </c>
      <c r="D27" s="27">
        <f t="shared" si="0"/>
        <v>799752.6100000001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241887.52+26349.2+73518.91+275459.39</f>
        <v>617215.02</v>
      </c>
      <c r="D28" s="26">
        <f t="shared" si="0"/>
        <v>617215.02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4032.51+4443.22+4170.72+6155.86</f>
        <v>18802.310000000001</v>
      </c>
      <c r="D29" s="26">
        <f t="shared" si="0"/>
        <v>18802.310000000001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76777.6+39353.13+11206.11+33016.54</f>
        <v>160353.38</v>
      </c>
      <c r="D30" s="26">
        <f t="shared" si="0"/>
        <v>160353.38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397.87+1193.61+795.74+994.68</f>
        <v>3381.9</v>
      </c>
      <c r="D32" s="32">
        <f t="shared" si="0"/>
        <v>3381.9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3660</v>
      </c>
      <c r="D34" s="26">
        <f t="shared" si="0"/>
        <v>3660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3660</f>
        <v>3660</v>
      </c>
      <c r="D35" s="26">
        <f t="shared" si="0"/>
        <v>3660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10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45" customHeight="1">
      <c r="A5" s="16" t="s">
        <v>23</v>
      </c>
      <c r="B5" s="45" t="s">
        <v>46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2255452.4899999998</v>
      </c>
      <c r="D15" s="27">
        <f>C15</f>
        <v>2255452.4899999998</v>
      </c>
      <c r="E15" s="21">
        <f>C15-D15</f>
        <v>0</v>
      </c>
      <c r="F15" s="21">
        <f>C18+C19+C20+C21+C22+C23+C24+C25+C26+C27+C34+C36</f>
        <v>2255452.4899999998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2255452.4899999998</v>
      </c>
      <c r="D16" s="27">
        <f t="shared" ref="D16:D38" si="0">C16</f>
        <v>2255452.4899999998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2255452.4899999998</v>
      </c>
      <c r="D17" s="27">
        <f t="shared" si="0"/>
        <v>2255452.4899999998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5025+15531.39</f>
        <v>20556.39</v>
      </c>
      <c r="D18" s="27">
        <f t="shared" si="0"/>
        <v>20556.39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5080.5+19609.18+27029.05</f>
        <v>51718.729999999996</v>
      </c>
      <c r="D22" s="27">
        <f t="shared" si="0"/>
        <v>51718.729999999996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199936.71+281616.52</f>
        <v>481553.23</v>
      </c>
      <c r="D24" s="27">
        <f t="shared" si="0"/>
        <v>481553.23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9727</f>
        <v>9727</v>
      </c>
      <c r="D26" s="27">
        <f t="shared" si="0"/>
        <v>9727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1691897.14</v>
      </c>
      <c r="D27" s="27">
        <f t="shared" si="0"/>
        <v>1691897.14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486406.69+30806.2+86818.14+608897.08</f>
        <v>1212928.1099999999</v>
      </c>
      <c r="D28" s="26">
        <f t="shared" si="0"/>
        <v>1212928.1099999999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3063.75+3602.74+4468.27+5652.82</f>
        <v>16787.580000000002</v>
      </c>
      <c r="D29" s="26">
        <f t="shared" si="0"/>
        <v>16787.580000000002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136172.81+54334.68+95807.61+165953.05</f>
        <v>452268.14999999997</v>
      </c>
      <c r="D30" s="26">
        <f t="shared" si="0"/>
        <v>452268.14999999997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1189.75+1193.61+1383.54+1392.55+1976.48+1591.48+1185.89</f>
        <v>9913.2999999999993</v>
      </c>
      <c r="D32" s="32">
        <f t="shared" si="0"/>
        <v>9913.2999999999993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45" customHeight="1">
      <c r="A5" s="16" t="s">
        <v>23</v>
      </c>
      <c r="B5" s="45" t="s">
        <v>47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493506.35000000003</v>
      </c>
      <c r="D15" s="27">
        <f>C15</f>
        <v>493506.35000000003</v>
      </c>
      <c r="E15" s="21">
        <f>C15-D15</f>
        <v>0</v>
      </c>
      <c r="F15" s="21">
        <f>C18+C20+C21+C22+C23+C24+C25+C26+C27+C34+C36</f>
        <v>493506.35000000003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493506.35000000003</v>
      </c>
      <c r="D16" s="27">
        <f t="shared" ref="D16:D38" si="0">C16</f>
        <v>493506.35000000003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493506.35000000003</v>
      </c>
      <c r="D17" s="27">
        <f t="shared" si="0"/>
        <v>493506.35000000003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4240.5+8382.18+61749.05</f>
        <v>74371.73000000001</v>
      </c>
      <c r="D22" s="27">
        <f t="shared" si="0"/>
        <v>74371.73000000001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86107.67</f>
        <v>86107.67</v>
      </c>
      <c r="D24" s="27">
        <f t="shared" si="0"/>
        <v>86107.67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4167</f>
        <v>4167</v>
      </c>
      <c r="D26" s="27">
        <f t="shared" si="0"/>
        <v>4167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328859.95</v>
      </c>
      <c r="D27" s="27">
        <f t="shared" si="0"/>
        <v>328859.95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88493.27+5339.74+14898.97+92431.41</f>
        <v>201163.39</v>
      </c>
      <c r="D28" s="26">
        <f t="shared" si="0"/>
        <v>201163.39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680.83+641.9+688.08+1077.98</f>
        <v>3088.79</v>
      </c>
      <c r="D29" s="26">
        <f t="shared" si="0"/>
        <v>3088.79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16372.58+50788.81+42874+8026.82</f>
        <v>118062.20999999999</v>
      </c>
      <c r="D30" s="26">
        <f t="shared" si="0"/>
        <v>118062.20999999999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992.11+994.68+592.94+795.74+790.59+1193.61+1185.89</f>
        <v>6545.56</v>
      </c>
      <c r="D32" s="32">
        <f t="shared" si="0"/>
        <v>6545.56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7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46.5" customHeight="1">
      <c r="A5" s="16" t="s">
        <v>23</v>
      </c>
      <c r="B5" s="45" t="s">
        <v>48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4135953.1700000004</v>
      </c>
      <c r="D15" s="27">
        <f>C15</f>
        <v>4135953.1700000004</v>
      </c>
      <c r="E15" s="21">
        <f>C15-D15</f>
        <v>0</v>
      </c>
      <c r="F15" s="21">
        <f>C18+C19+C22+C24+C25+C26+C27+C34+C36</f>
        <v>4086080.59</v>
      </c>
      <c r="G15" s="21">
        <f>F15-C15</f>
        <v>-49872.58000000054</v>
      </c>
    </row>
    <row r="16" spans="1:7" s="8" customFormat="1" ht="24">
      <c r="A16" s="25" t="s">
        <v>19</v>
      </c>
      <c r="B16" s="23">
        <v>2000</v>
      </c>
      <c r="C16" s="27">
        <f>C17+C34</f>
        <v>4062556.3700000006</v>
      </c>
      <c r="D16" s="27">
        <f t="shared" ref="D16:D38" si="0">C16</f>
        <v>4062556.3700000006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4058896.3700000006</v>
      </c>
      <c r="D17" s="27">
        <f t="shared" si="0"/>
        <v>4058896.3700000006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2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23304+48119.1</f>
        <v>71423.100000000006</v>
      </c>
      <c r="D19" s="30">
        <f t="shared" si="0"/>
        <v>71423.100000000006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>
        <f>49872.58</f>
        <v>49872.58</v>
      </c>
      <c r="D20" s="27">
        <f t="shared" si="0"/>
        <v>49872.58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7976.5+42170.52+191350.45</f>
        <v>241497.47</v>
      </c>
      <c r="D22" s="27">
        <f t="shared" si="0"/>
        <v>241497.47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99598</f>
        <v>99598</v>
      </c>
      <c r="D24" s="27">
        <f t="shared" si="0"/>
        <v>99598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16020+32040+23775.4</f>
        <v>71835.399999999994</v>
      </c>
      <c r="D26" s="27">
        <f t="shared" si="0"/>
        <v>71835.399999999994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3519644.8200000003</v>
      </c>
      <c r="D27" s="27">
        <f t="shared" si="0"/>
        <v>3519644.8200000003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742713.44+70820.41+197602.93+1113276.35</f>
        <v>2124413.13</v>
      </c>
      <c r="D28" s="26">
        <f t="shared" si="0"/>
        <v>2124413.13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19585.26+26244.19+26651.23+27577.63</f>
        <v>100058.31</v>
      </c>
      <c r="D29" s="26">
        <f t="shared" si="0"/>
        <v>100058.31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203453.82+345013.91+355459.6+380234.93</f>
        <v>1284162.26</v>
      </c>
      <c r="D30" s="26">
        <f t="shared" si="0"/>
        <v>1284162.26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2805.16+397.87+790.59+1185.89+592.94+795.74+592.94+790.59+395.3+94.68+790.59+988.24+790.59</f>
        <v>11011.12</v>
      </c>
      <c r="D32" s="32">
        <f t="shared" si="0"/>
        <v>11011.12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3660</v>
      </c>
      <c r="D34" s="26">
        <f t="shared" si="0"/>
        <v>3660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3660</f>
        <v>3660</v>
      </c>
      <c r="D35" s="26">
        <f t="shared" si="0"/>
        <v>3660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73396.800000000003</v>
      </c>
      <c r="D36" s="26">
        <f t="shared" si="0"/>
        <v>73396.800000000003</v>
      </c>
      <c r="E36" s="21">
        <f t="shared" si="1"/>
        <v>0</v>
      </c>
    </row>
    <row r="37" spans="1:5">
      <c r="A37" s="24" t="s">
        <v>17</v>
      </c>
      <c r="B37" s="25">
        <v>3110</v>
      </c>
      <c r="C37" s="26">
        <f>73396.8</f>
        <v>73396.800000000003</v>
      </c>
      <c r="D37" s="26">
        <f t="shared" si="0"/>
        <v>73396.800000000003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56.25" customHeight="1">
      <c r="A5" s="16" t="s">
        <v>23</v>
      </c>
      <c r="B5" s="45" t="s">
        <v>49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970661.60999999987</v>
      </c>
      <c r="D15" s="27">
        <f>C15</f>
        <v>970661.60999999987</v>
      </c>
      <c r="E15" s="21">
        <f>C15-D15</f>
        <v>0</v>
      </c>
      <c r="F15" s="21">
        <f>C18+C19+C20+C21+C22+C23+C24+C25+C26+C27+C34+C36</f>
        <v>970661.61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970661.60999999987</v>
      </c>
      <c r="D16" s="27">
        <f t="shared" ref="D16:D38" si="0">C16</f>
        <v>970661.60999999987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964561.60999999987</v>
      </c>
      <c r="D17" s="27">
        <f t="shared" si="0"/>
        <v>964561.60999999987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21243.2+25949.5</f>
        <v>47192.7</v>
      </c>
      <c r="D19" s="37">
        <f t="shared" si="0"/>
        <v>47192.7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3176.5+8506.18+61933.05</f>
        <v>73615.73000000001</v>
      </c>
      <c r="D22" s="27">
        <f t="shared" si="0"/>
        <v>73615.73000000001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99980+60044.98</f>
        <v>160024.98000000001</v>
      </c>
      <c r="D24" s="27">
        <f t="shared" si="0"/>
        <v>160024.98000000001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5808.5</f>
        <v>5808.5</v>
      </c>
      <c r="D26" s="27">
        <f t="shared" si="0"/>
        <v>5808.5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677919.7</v>
      </c>
      <c r="D27" s="27">
        <f t="shared" si="0"/>
        <v>677919.7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268273.06+17692.31+49365.04+252043.13</f>
        <v>587373.54</v>
      </c>
      <c r="D28" s="26">
        <f t="shared" si="0"/>
        <v>587373.54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4170.1+4914.91+4993.39+3001.7</f>
        <v>17080.100000000002</v>
      </c>
      <c r="D29" s="26">
        <f t="shared" si="0"/>
        <v>17080.100000000002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23541.39+11621.26+10794.56+24723.75</f>
        <v>70680.959999999992</v>
      </c>
      <c r="D30" s="26">
        <f t="shared" si="0"/>
        <v>70680.959999999992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795.74+795.74+198.94+994.68</f>
        <v>2785.1</v>
      </c>
      <c r="D32" s="32">
        <f t="shared" si="0"/>
        <v>2785.1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6100</v>
      </c>
      <c r="D34" s="27">
        <f t="shared" si="0"/>
        <v>6100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6100</f>
        <v>6100</v>
      </c>
      <c r="D35" s="26">
        <f t="shared" si="0"/>
        <v>6100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9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7.5" customHeight="1">
      <c r="A5" s="16" t="s">
        <v>23</v>
      </c>
      <c r="B5" s="45" t="s">
        <v>50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1401355.1700000002</v>
      </c>
      <c r="D15" s="27">
        <f>C15</f>
        <v>1401355.1700000002</v>
      </c>
      <c r="E15" s="21">
        <f>C15-D15</f>
        <v>0</v>
      </c>
      <c r="F15" s="21">
        <f>C18+C20+C21+C22+C23+C24+C25+C26+C27+C34+C36+C19</f>
        <v>1401355.1700000002</v>
      </c>
      <c r="G15" s="21">
        <f>F15-C16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1401355.1700000002</v>
      </c>
      <c r="D16" s="27">
        <f t="shared" ref="D16:D38" si="0">C16</f>
        <v>1401355.1700000002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1401355.1700000002</v>
      </c>
      <c r="D17" s="27">
        <f t="shared" si="0"/>
        <v>1401355.1700000002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2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20559.6+27425.6+32887.1</f>
        <v>80872.299999999988</v>
      </c>
      <c r="D19" s="37">
        <f t="shared" si="0"/>
        <v>80872.299999999988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>
        <f>79947.7</f>
        <v>79947.7</v>
      </c>
      <c r="D20" s="27">
        <f t="shared" si="0"/>
        <v>79947.7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2928.5+14176.18+13429.05</f>
        <v>30533.73</v>
      </c>
      <c r="D22" s="27">
        <f t="shared" si="0"/>
        <v>30533.73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193947.71</f>
        <v>193947.71</v>
      </c>
      <c r="D24" s="27">
        <f t="shared" si="0"/>
        <v>193947.71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7335.5</f>
        <v>7335.5</v>
      </c>
      <c r="D26" s="27">
        <f t="shared" si="0"/>
        <v>7335.5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1003693.23</v>
      </c>
      <c r="D27" s="27">
        <f t="shared" si="0"/>
        <v>1003693.23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343085.87+24065.86+67148.53+446197.91</f>
        <v>880498.16999999993</v>
      </c>
      <c r="D28" s="26">
        <f t="shared" si="0"/>
        <v>880498.16999999993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2609.85+2985.89+3075.55+3297.94</f>
        <v>11969.230000000001</v>
      </c>
      <c r="D29" s="26">
        <f t="shared" si="0"/>
        <v>11969.230000000001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29298.41+25610.7+20412.86+32521.95</f>
        <v>107843.92</v>
      </c>
      <c r="D30" s="26">
        <f t="shared" si="0"/>
        <v>107843.92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596.81+994.68+795.74+994.68</f>
        <v>3381.9099999999994</v>
      </c>
      <c r="D32" s="32">
        <f>C32</f>
        <v>3381.9099999999994</v>
      </c>
      <c r="E32" s="21">
        <f>C32-D32</f>
        <v>0</v>
      </c>
    </row>
    <row r="33" spans="1:5" s="43" customFormat="1">
      <c r="A33" s="24" t="s">
        <v>62</v>
      </c>
      <c r="B33" s="25">
        <v>2276</v>
      </c>
      <c r="C33" s="32"/>
      <c r="D33" s="32">
        <f>C33</f>
        <v>0</v>
      </c>
      <c r="E33" s="21">
        <f>C33-D33</f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7" zoomScaleNormal="70" zoomScaleSheetLayoutView="100" workbookViewId="0">
      <selection activeCell="C34" sqref="C34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7.5" customHeight="1">
      <c r="A5" s="16" t="s">
        <v>23</v>
      </c>
      <c r="B5" s="45" t="s">
        <v>51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2642655.31</v>
      </c>
      <c r="D15" s="27">
        <f>C15</f>
        <v>2642655.31</v>
      </c>
      <c r="E15" s="21">
        <f>C15-D15</f>
        <v>0</v>
      </c>
      <c r="F15" s="21">
        <f>C18+C20+C21+C22+C23+C24+C25+C26+C27+C34+C36</f>
        <v>2642655.31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2642655.31</v>
      </c>
      <c r="D16" s="27">
        <f t="shared" ref="D16:D38" si="0">C16</f>
        <v>2642655.31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2642655.31</v>
      </c>
      <c r="D17" s="27">
        <f t="shared" si="0"/>
        <v>2642655.31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4934.5+14848.18+14435.05</f>
        <v>34217.729999999996</v>
      </c>
      <c r="D22" s="27">
        <f t="shared" si="0"/>
        <v>34217.729999999996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240039.37</f>
        <v>240039.37</v>
      </c>
      <c r="D24" s="27">
        <f t="shared" si="0"/>
        <v>240039.37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3713.5</f>
        <v>3713.5</v>
      </c>
      <c r="D26" s="27">
        <f t="shared" si="0"/>
        <v>3713.5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2364684.71</v>
      </c>
      <c r="D27" s="27">
        <f t="shared" si="0"/>
        <v>2364684.71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242816.7+36990.78+103211.63+495097.68</f>
        <v>878116.79</v>
      </c>
      <c r="D28" s="26">
        <f t="shared" si="0"/>
        <v>878116.79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1702.08+1843.92+2666.59+2893.54</f>
        <v>9106.130000000001</v>
      </c>
      <c r="D29" s="26">
        <f t="shared" si="0"/>
        <v>9106.130000000001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27477.5+15159.5+17850.72+35626.69</f>
        <v>96114.41</v>
      </c>
      <c r="D30" s="26">
        <f t="shared" si="0"/>
        <v>96114.41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596.81+994.68+975.74+1193.61</f>
        <v>3760.8399999999992</v>
      </c>
      <c r="D32" s="32">
        <f t="shared" si="0"/>
        <v>3760.8399999999992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>
        <f>1195076.09+182510.45</f>
        <v>1377586.54</v>
      </c>
      <c r="D33" s="32">
        <f t="shared" si="0"/>
        <v>1377586.54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52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1586455.1100000003</v>
      </c>
      <c r="D15" s="27">
        <f>C15</f>
        <v>1586455.1100000003</v>
      </c>
      <c r="E15" s="21">
        <f>C15-D15</f>
        <v>0</v>
      </c>
      <c r="F15" s="21">
        <f>C18+C20+C21+C22+C23+C24+C25+C26+C27+C34+C36</f>
        <v>1556093.0100000002</v>
      </c>
      <c r="G15" s="21">
        <f>F15-C15</f>
        <v>-30362.100000000093</v>
      </c>
    </row>
    <row r="16" spans="1:7" s="8" customFormat="1" ht="24">
      <c r="A16" s="25" t="s">
        <v>19</v>
      </c>
      <c r="B16" s="23">
        <v>2000</v>
      </c>
      <c r="C16" s="27">
        <f>C17+C34</f>
        <v>1586455.1100000003</v>
      </c>
      <c r="D16" s="27">
        <f t="shared" ref="D16:D38" si="0">C16</f>
        <v>1586455.1100000003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1582795.1100000003</v>
      </c>
      <c r="D17" s="27">
        <f t="shared" si="0"/>
        <v>1582795.1100000003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3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30362.1</f>
        <v>30362.1</v>
      </c>
      <c r="D19" s="37">
        <f t="shared" si="0"/>
        <v>30362.1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31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2928.5+13636.18+13429.05</f>
        <v>29993.73</v>
      </c>
      <c r="D22" s="27">
        <f t="shared" si="0"/>
        <v>29993.73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33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349740.39</f>
        <v>349740.39</v>
      </c>
      <c r="D24" s="33">
        <f t="shared" si="0"/>
        <v>349740.39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8903.5</f>
        <v>8903.5</v>
      </c>
      <c r="D26" s="33">
        <f t="shared" si="0"/>
        <v>8903.5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1158770.3900000001</v>
      </c>
      <c r="D27" s="27">
        <f t="shared" si="0"/>
        <v>1158770.3900000001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273097.62+21899.39+61103.66+512058.92</f>
        <v>868159.59000000008</v>
      </c>
      <c r="D28" s="26">
        <f t="shared" si="0"/>
        <v>868159.59000000008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2952.63+4347.55+5610.24+5358.24</f>
        <v>18268.66</v>
      </c>
      <c r="D29" s="26">
        <f t="shared" si="0"/>
        <v>18268.66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61084.74+36252.12+34116.69+137506.69</f>
        <v>268960.24</v>
      </c>
      <c r="D30" s="26">
        <f t="shared" si="0"/>
        <v>268960.24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397.87+994.68+795.74+1193.61</f>
        <v>3381.8999999999996</v>
      </c>
      <c r="D32" s="32">
        <f t="shared" si="0"/>
        <v>3381.8999999999996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3660</v>
      </c>
      <c r="D34" s="27">
        <f t="shared" si="0"/>
        <v>3660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3660</f>
        <v>3660</v>
      </c>
      <c r="D35" s="26">
        <f t="shared" si="0"/>
        <v>3660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7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53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2217394.6799999997</v>
      </c>
      <c r="D15" s="27">
        <f>C15</f>
        <v>2217394.6799999997</v>
      </c>
      <c r="E15" s="21">
        <f>C15-D15</f>
        <v>0</v>
      </c>
      <c r="F15" s="21">
        <f>C18+C20+C21+C22+C23+C24+C25+C26+C27+C34+C36+C19</f>
        <v>2217394.6799999997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2217394.6799999997</v>
      </c>
      <c r="D16" s="27">
        <f t="shared" ref="D16:D38" si="0">C16</f>
        <v>2217394.6799999997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2217394.6799999997</v>
      </c>
      <c r="D17" s="27">
        <f t="shared" si="0"/>
        <v>2217394.6799999997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354196.9+22750+55989.5</f>
        <v>432936.4</v>
      </c>
      <c r="D19" s="37">
        <f t="shared" si="0"/>
        <v>432936.4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5722.5+19390.77+109565.05</f>
        <v>134678.32</v>
      </c>
      <c r="D22" s="27">
        <f t="shared" si="0"/>
        <v>134678.32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199424.84</f>
        <v>199424.84</v>
      </c>
      <c r="D24" s="27">
        <f t="shared" si="0"/>
        <v>199424.84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7512</f>
        <v>7512</v>
      </c>
      <c r="D26" s="27">
        <f t="shared" si="0"/>
        <v>7512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1442843.1199999999</v>
      </c>
      <c r="D27" s="27">
        <f t="shared" si="0"/>
        <v>1442843.1199999999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443753.9+36031.61+100535.32+496389.43</f>
        <v>1076710.26</v>
      </c>
      <c r="D28" s="26">
        <f t="shared" si="0"/>
        <v>1076710.26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8932.48+6939.98+8976.72+11233.73</f>
        <v>36082.910000000003</v>
      </c>
      <c r="D29" s="26">
        <f t="shared" si="0"/>
        <v>36082.910000000003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54141.55+69367.86+98803.39+99779.75</f>
        <v>322092.55</v>
      </c>
      <c r="D30" s="26">
        <f t="shared" si="0"/>
        <v>322092.55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1193.61+1989.35+2387.22+2387.22</f>
        <v>7957.4</v>
      </c>
      <c r="D32" s="32">
        <f t="shared" si="0"/>
        <v>7957.4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4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54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1912061.4800000004</v>
      </c>
      <c r="D15" s="27">
        <f>C15</f>
        <v>1912061.4800000004</v>
      </c>
      <c r="E15" s="21">
        <f>C15-D15</f>
        <v>0</v>
      </c>
      <c r="F15" s="21">
        <f>C18+C20+C21+C22+C23+C24+C25+C26+C27+C34+C36+C19</f>
        <v>1912061.4800000004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1912061.4800000004</v>
      </c>
      <c r="D16" s="27">
        <f t="shared" ref="D16:D37" si="0">C16</f>
        <v>1912061.4800000004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1904741.4800000004</v>
      </c>
      <c r="D17" s="27">
        <f t="shared" si="0"/>
        <v>1904741.4800000004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2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18865.4+25364.8+60378.4</f>
        <v>104608.6</v>
      </c>
      <c r="D19" s="37">
        <f t="shared" si="0"/>
        <v>104608.6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>
        <f>22186</f>
        <v>22186</v>
      </c>
      <c r="D20" s="27">
        <f t="shared" si="0"/>
        <v>22186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4080.5+14236.18+25929.05</f>
        <v>44245.729999999996</v>
      </c>
      <c r="D22" s="27">
        <f t="shared" si="0"/>
        <v>44245.729999999996</v>
      </c>
      <c r="E22" s="21">
        <f t="shared" si="1"/>
        <v>0</v>
      </c>
    </row>
    <row r="23" spans="1:5">
      <c r="A23" s="22" t="s">
        <v>34</v>
      </c>
      <c r="B23" s="23">
        <v>2240</v>
      </c>
      <c r="C23" s="33">
        <f>187814+182525.63</f>
        <v>370339.63</v>
      </c>
      <c r="D23" s="27">
        <f t="shared" si="0"/>
        <v>370339.63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5403.5</f>
        <v>5403.5</v>
      </c>
      <c r="D26" s="27">
        <f t="shared" si="0"/>
        <v>5403.5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1352933.0200000003</v>
      </c>
      <c r="D27" s="27">
        <f t="shared" si="0"/>
        <v>1352933.0200000003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442545.14+25070.09+69950.5+606227.04</f>
        <v>1143792.77</v>
      </c>
      <c r="D28" s="26">
        <f t="shared" si="0"/>
        <v>1143792.77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3517.63+3971.52+4482.14+3375.79</f>
        <v>15347.080000000002</v>
      </c>
      <c r="D29" s="26">
        <f t="shared" si="0"/>
        <v>15347.080000000002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76322.66+42544.13+15567.34+56573.94</f>
        <v>191008.07</v>
      </c>
      <c r="D30" s="26">
        <f t="shared" si="0"/>
        <v>191008.07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596.81+795.74+596.81+795.74</f>
        <v>2785.1</v>
      </c>
      <c r="D32" s="32">
        <f t="shared" si="0"/>
        <v>2785.1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7320</v>
      </c>
      <c r="D34" s="27">
        <f t="shared" si="0"/>
        <v>7320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7320</f>
        <v>7320</v>
      </c>
      <c r="D35" s="26">
        <f t="shared" si="0"/>
        <v>7320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>C38</f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52.5" customHeight="1">
      <c r="A5" s="16" t="s">
        <v>23</v>
      </c>
      <c r="B5" s="45" t="s">
        <v>37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1074263.3299999998</v>
      </c>
      <c r="D15" s="27">
        <f>C15</f>
        <v>1074263.3299999998</v>
      </c>
      <c r="E15" s="21">
        <f>C15-D15</f>
        <v>0</v>
      </c>
      <c r="F15" s="21">
        <f>C18+C20+C21+C22+C23+C24+C25+C26+C27+C34+C36</f>
        <v>1074263.3299999998</v>
      </c>
      <c r="G15" s="21">
        <f>F15-C15</f>
        <v>0</v>
      </c>
    </row>
    <row r="16" spans="1:7" s="8" customFormat="1" ht="24">
      <c r="A16" s="25" t="s">
        <v>19</v>
      </c>
      <c r="B16" s="40">
        <v>2000</v>
      </c>
      <c r="C16" s="33">
        <f>C17+C34</f>
        <v>1074263.3299999998</v>
      </c>
      <c r="D16" s="33">
        <f t="shared" ref="D16:D38" si="0">C16</f>
        <v>1074263.3299999998</v>
      </c>
      <c r="E16" s="21">
        <f t="shared" ref="E16:E38" si="1">C16-D16</f>
        <v>0</v>
      </c>
    </row>
    <row r="17" spans="1:5" s="10" customFormat="1">
      <c r="A17" s="22" t="s">
        <v>5</v>
      </c>
      <c r="B17" s="40">
        <v>2200</v>
      </c>
      <c r="C17" s="27">
        <f>C18+C20+C21+C22+C23+C24+C26+C27+C25+C19</f>
        <v>1074263.3299999998</v>
      </c>
      <c r="D17" s="33">
        <f t="shared" si="0"/>
        <v>1074263.3299999998</v>
      </c>
      <c r="E17" s="21">
        <f t="shared" si="1"/>
        <v>0</v>
      </c>
    </row>
    <row r="18" spans="1:5" s="11" customFormat="1">
      <c r="A18" s="28" t="s">
        <v>6</v>
      </c>
      <c r="B18" s="39">
        <v>2210</v>
      </c>
      <c r="C18" s="30"/>
      <c r="D18" s="30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9">
        <v>2210</v>
      </c>
      <c r="C20" s="31"/>
      <c r="D20" s="31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40">
        <v>2210</v>
      </c>
      <c r="C21" s="33"/>
      <c r="D21" s="33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40">
        <v>2240</v>
      </c>
      <c r="C22" s="33">
        <f>4571.14+29526.53+13765.99</f>
        <v>47863.659999999996</v>
      </c>
      <c r="D22" s="33">
        <f t="shared" si="0"/>
        <v>47863.659999999996</v>
      </c>
      <c r="E22" s="21">
        <f t="shared" si="1"/>
        <v>0</v>
      </c>
    </row>
    <row r="23" spans="1:5">
      <c r="A23" s="22" t="s">
        <v>34</v>
      </c>
      <c r="B23" s="40">
        <v>2240</v>
      </c>
      <c r="C23" s="33"/>
      <c r="D23" s="33">
        <f t="shared" si="0"/>
        <v>0</v>
      </c>
      <c r="E23" s="21">
        <f t="shared" si="1"/>
        <v>0</v>
      </c>
    </row>
    <row r="24" spans="1:5">
      <c r="A24" s="22" t="s">
        <v>20</v>
      </c>
      <c r="B24" s="40">
        <v>2240</v>
      </c>
      <c r="C24" s="33">
        <f>132368+140621.37</f>
        <v>272989.37</v>
      </c>
      <c r="D24" s="33">
        <f t="shared" si="0"/>
        <v>272989.37</v>
      </c>
      <c r="E24" s="21">
        <f t="shared" si="1"/>
        <v>0</v>
      </c>
    </row>
    <row r="25" spans="1:5" s="35" customFormat="1" ht="24">
      <c r="A25" s="22" t="s">
        <v>60</v>
      </c>
      <c r="B25" s="40">
        <v>2240</v>
      </c>
      <c r="C25" s="33"/>
      <c r="D25" s="33">
        <f t="shared" si="0"/>
        <v>0</v>
      </c>
      <c r="E25" s="21">
        <f t="shared" si="1"/>
        <v>0</v>
      </c>
    </row>
    <row r="26" spans="1:5">
      <c r="A26" s="22" t="s">
        <v>35</v>
      </c>
      <c r="B26" s="40">
        <v>2240</v>
      </c>
      <c r="C26" s="33">
        <f>7027</f>
        <v>7027</v>
      </c>
      <c r="D26" s="33">
        <f t="shared" si="0"/>
        <v>7027</v>
      </c>
      <c r="E26" s="21">
        <f t="shared" si="1"/>
        <v>0</v>
      </c>
    </row>
    <row r="27" spans="1:5" s="11" customFormat="1">
      <c r="A27" s="22" t="s">
        <v>16</v>
      </c>
      <c r="B27" s="40">
        <v>2270</v>
      </c>
      <c r="C27" s="27">
        <f>C28+C29+C30+C32+C33</f>
        <v>746383.29999999981</v>
      </c>
      <c r="D27" s="33">
        <f t="shared" si="0"/>
        <v>746383.29999999981</v>
      </c>
      <c r="E27" s="21">
        <f t="shared" si="1"/>
        <v>0</v>
      </c>
    </row>
    <row r="28" spans="1:5">
      <c r="A28" s="24" t="s">
        <v>9</v>
      </c>
      <c r="B28" s="41">
        <v>2271</v>
      </c>
      <c r="C28" s="32">
        <f>310731.22+29389.67+82003.06+36022.17</f>
        <v>458146.11999999994</v>
      </c>
      <c r="D28" s="32">
        <f t="shared" si="0"/>
        <v>458146.11999999994</v>
      </c>
      <c r="E28" s="21">
        <f t="shared" si="1"/>
        <v>0</v>
      </c>
    </row>
    <row r="29" spans="1:5">
      <c r="A29" s="24" t="s">
        <v>10</v>
      </c>
      <c r="B29" s="41">
        <v>2272</v>
      </c>
      <c r="C29" s="32">
        <f>1815.55+1709.33+2851.6+1503.5</f>
        <v>7879.98</v>
      </c>
      <c r="D29" s="32">
        <f t="shared" si="0"/>
        <v>7879.98</v>
      </c>
      <c r="E29" s="21">
        <f t="shared" si="1"/>
        <v>0</v>
      </c>
    </row>
    <row r="30" spans="1:5">
      <c r="A30" s="24" t="s">
        <v>11</v>
      </c>
      <c r="B30" s="41">
        <v>2273</v>
      </c>
      <c r="C30" s="32">
        <f>49812.68+21825.59+5938.8+44990.44</f>
        <v>122567.51000000001</v>
      </c>
      <c r="D30" s="32">
        <f t="shared" si="0"/>
        <v>122567.51000000001</v>
      </c>
      <c r="E30" s="21">
        <f t="shared" si="1"/>
        <v>0</v>
      </c>
    </row>
    <row r="31" spans="1:5" hidden="1">
      <c r="A31" s="24" t="s">
        <v>12</v>
      </c>
      <c r="B31" s="41">
        <v>2274</v>
      </c>
      <c r="C31" s="32"/>
      <c r="D31" s="32">
        <f t="shared" si="0"/>
        <v>0</v>
      </c>
      <c r="E31" s="21">
        <f t="shared" si="1"/>
        <v>0</v>
      </c>
    </row>
    <row r="32" spans="1:5">
      <c r="A32" s="24" t="s">
        <v>8</v>
      </c>
      <c r="B32" s="41">
        <v>2275</v>
      </c>
      <c r="C32" s="32">
        <f>1193.61+1591.48+596.81+1193.61+596.81+1989.35+994.68</f>
        <v>8156.35</v>
      </c>
      <c r="D32" s="32">
        <f t="shared" si="0"/>
        <v>8156.35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>
        <v>149633.34</v>
      </c>
      <c r="D33" s="32">
        <f t="shared" si="0"/>
        <v>149633.34</v>
      </c>
      <c r="E33" s="21">
        <f t="shared" si="1"/>
        <v>0</v>
      </c>
    </row>
    <row r="34" spans="1:5" s="10" customFormat="1">
      <c r="A34" s="22" t="s">
        <v>13</v>
      </c>
      <c r="B34" s="40">
        <v>2700</v>
      </c>
      <c r="C34" s="32">
        <f>C35</f>
        <v>0</v>
      </c>
      <c r="D34" s="32">
        <f t="shared" si="0"/>
        <v>0</v>
      </c>
      <c r="E34" s="21">
        <f t="shared" si="1"/>
        <v>0</v>
      </c>
    </row>
    <row r="35" spans="1:5">
      <c r="A35" s="24" t="s">
        <v>14</v>
      </c>
      <c r="B35" s="41">
        <v>2730</v>
      </c>
      <c r="C35" s="32"/>
      <c r="D35" s="32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40">
        <v>3000</v>
      </c>
      <c r="C36" s="32">
        <f>C37+C38</f>
        <v>0</v>
      </c>
      <c r="D36" s="32">
        <f t="shared" si="0"/>
        <v>0</v>
      </c>
      <c r="E36" s="21">
        <f t="shared" si="1"/>
        <v>0</v>
      </c>
    </row>
    <row r="37" spans="1:5">
      <c r="A37" s="24" t="s">
        <v>17</v>
      </c>
      <c r="B37" s="41">
        <v>3110</v>
      </c>
      <c r="C37" s="32"/>
      <c r="D37" s="32">
        <f t="shared" si="0"/>
        <v>0</v>
      </c>
      <c r="E37" s="21">
        <f t="shared" si="1"/>
        <v>0</v>
      </c>
    </row>
    <row r="38" spans="1:5" ht="15.75" thickBot="1">
      <c r="A38" s="5" t="s">
        <v>18</v>
      </c>
      <c r="B38" s="41">
        <v>3132</v>
      </c>
      <c r="C38" s="32"/>
      <c r="D38" s="32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9" fitToHeight="1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10">
      <c r="A1" s="48" t="s">
        <v>0</v>
      </c>
      <c r="B1" s="47"/>
      <c r="C1" s="47"/>
      <c r="D1" s="47"/>
    </row>
    <row r="2" spans="1:10">
      <c r="A2" s="48" t="s">
        <v>32</v>
      </c>
      <c r="B2" s="47"/>
      <c r="C2" s="47"/>
      <c r="D2" s="47"/>
    </row>
    <row r="3" spans="1:10">
      <c r="A3" s="48" t="s">
        <v>65</v>
      </c>
      <c r="B3" s="47"/>
      <c r="C3" s="47"/>
      <c r="D3" s="47"/>
    </row>
    <row r="4" spans="1:10">
      <c r="A4" s="1"/>
      <c r="B4" s="1"/>
      <c r="C4" s="2"/>
    </row>
    <row r="5" spans="1:10" ht="63.75" customHeight="1">
      <c r="A5" s="16" t="s">
        <v>23</v>
      </c>
      <c r="B5" s="45" t="s">
        <v>59</v>
      </c>
      <c r="C5" s="45"/>
      <c r="D5" s="45"/>
    </row>
    <row r="6" spans="1:10">
      <c r="A6" s="16" t="s">
        <v>24</v>
      </c>
      <c r="B6" s="15" t="s">
        <v>25</v>
      </c>
    </row>
    <row r="7" spans="1:10">
      <c r="A7" s="16" t="s">
        <v>26</v>
      </c>
      <c r="B7" s="15" t="s">
        <v>27</v>
      </c>
    </row>
    <row r="8" spans="1:10" ht="25.5">
      <c r="A8" s="1" t="s">
        <v>28</v>
      </c>
      <c r="B8" s="15" t="s">
        <v>29</v>
      </c>
    </row>
    <row r="9" spans="1:10" ht="38.25">
      <c r="A9" s="1" t="s">
        <v>30</v>
      </c>
      <c r="B9" s="49" t="s">
        <v>31</v>
      </c>
      <c r="C9" s="49"/>
      <c r="D9" s="49"/>
    </row>
    <row r="10" spans="1:10">
      <c r="A10" s="3" t="s">
        <v>21</v>
      </c>
    </row>
    <row r="11" spans="1:10">
      <c r="A11" s="3" t="s">
        <v>1</v>
      </c>
    </row>
    <row r="12" spans="1:10" ht="15.75">
      <c r="A12" s="46"/>
      <c r="B12" s="47"/>
      <c r="C12" s="47"/>
      <c r="D12" s="47"/>
    </row>
    <row r="13" spans="1:10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10">
      <c r="A14" s="23">
        <v>1</v>
      </c>
      <c r="B14" s="23">
        <v>2</v>
      </c>
      <c r="C14" s="23">
        <v>3</v>
      </c>
      <c r="D14" s="23">
        <v>4</v>
      </c>
    </row>
    <row r="15" spans="1:10" s="9" customFormat="1">
      <c r="A15" s="23" t="s">
        <v>3</v>
      </c>
      <c r="B15" s="23" t="s">
        <v>4</v>
      </c>
      <c r="C15" s="27">
        <f>C16+C36</f>
        <v>1399368.29</v>
      </c>
      <c r="D15" s="27">
        <f>C15</f>
        <v>1399368.29</v>
      </c>
      <c r="E15" s="21">
        <f>C15-D15</f>
        <v>0</v>
      </c>
      <c r="F15" s="21">
        <f>C18+C20+C21+C22+C23+C24+C25+C26+C27+C34+C36</f>
        <v>1399368.29</v>
      </c>
      <c r="G15" s="21">
        <f>F15-C15</f>
        <v>0</v>
      </c>
    </row>
    <row r="16" spans="1:10" s="8" customFormat="1" ht="24">
      <c r="A16" s="25" t="s">
        <v>19</v>
      </c>
      <c r="B16" s="23">
        <v>2000</v>
      </c>
      <c r="C16" s="27">
        <f>C17+C34</f>
        <v>1399368.29</v>
      </c>
      <c r="D16" s="27">
        <f t="shared" ref="D16:D38" si="0">C16</f>
        <v>1399368.29</v>
      </c>
      <c r="E16" s="21">
        <f t="shared" ref="E16:E38" si="1">C16-D16</f>
        <v>0</v>
      </c>
      <c r="G16" s="48"/>
      <c r="H16" s="47"/>
      <c r="I16" s="47"/>
      <c r="J16" s="47"/>
    </row>
    <row r="17" spans="1:6" s="10" customFormat="1">
      <c r="A17" s="22" t="s">
        <v>5</v>
      </c>
      <c r="B17" s="23">
        <v>2200</v>
      </c>
      <c r="C17" s="27">
        <f>C18+C20+C21+C22+C23+C24+C26+C27+C25+C19</f>
        <v>1399368.29</v>
      </c>
      <c r="D17" s="27">
        <f t="shared" si="0"/>
        <v>1399368.29</v>
      </c>
      <c r="E17" s="21">
        <f t="shared" si="1"/>
        <v>0</v>
      </c>
    </row>
    <row r="18" spans="1:6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6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6" s="7" customFormat="1">
      <c r="A20" s="28" t="s">
        <v>33</v>
      </c>
      <c r="B20" s="36">
        <v>2210</v>
      </c>
      <c r="C20" s="38">
        <f>70000+7996.01</f>
        <v>77996.009999999995</v>
      </c>
      <c r="D20" s="27">
        <f t="shared" si="0"/>
        <v>77996.009999999995</v>
      </c>
      <c r="E20" s="21">
        <f t="shared" si="1"/>
        <v>0</v>
      </c>
      <c r="F20" s="11"/>
    </row>
    <row r="21" spans="1:6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  <c r="F21" s="7"/>
    </row>
    <row r="22" spans="1:6" s="11" customFormat="1">
      <c r="A22" s="22" t="s">
        <v>7</v>
      </c>
      <c r="B22" s="23">
        <v>2240</v>
      </c>
      <c r="C22" s="27">
        <f>3176.5+8006.18+26409.05</f>
        <v>37591.729999999996</v>
      </c>
      <c r="D22" s="27">
        <f t="shared" si="0"/>
        <v>37591.729999999996</v>
      </c>
      <c r="E22" s="21">
        <f t="shared" si="1"/>
        <v>0</v>
      </c>
    </row>
    <row r="23" spans="1:6">
      <c r="A23" s="22" t="s">
        <v>34</v>
      </c>
      <c r="B23" s="23">
        <v>2240</v>
      </c>
      <c r="C23" s="33">
        <f>98000+49000</f>
        <v>147000</v>
      </c>
      <c r="D23" s="27">
        <f t="shared" si="0"/>
        <v>147000</v>
      </c>
      <c r="E23" s="21">
        <f t="shared" si="1"/>
        <v>0</v>
      </c>
    </row>
    <row r="24" spans="1:6">
      <c r="A24" s="22" t="s">
        <v>20</v>
      </c>
      <c r="B24" s="23">
        <v>2240</v>
      </c>
      <c r="C24" s="33">
        <f>168659.11</f>
        <v>168659.11</v>
      </c>
      <c r="D24" s="27">
        <f t="shared" si="0"/>
        <v>168659.11</v>
      </c>
      <c r="E24" s="21">
        <f t="shared" si="1"/>
        <v>0</v>
      </c>
    </row>
    <row r="25" spans="1:6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6">
      <c r="A26" s="22" t="s">
        <v>35</v>
      </c>
      <c r="B26" s="23">
        <v>2240</v>
      </c>
      <c r="C26" s="33">
        <f>5083.5</f>
        <v>5083.5</v>
      </c>
      <c r="D26" s="27">
        <f t="shared" si="0"/>
        <v>5083.5</v>
      </c>
      <c r="E26" s="21">
        <f t="shared" si="1"/>
        <v>0</v>
      </c>
    </row>
    <row r="27" spans="1:6" s="11" customFormat="1">
      <c r="A27" s="22" t="s">
        <v>16</v>
      </c>
      <c r="B27" s="23">
        <v>2270</v>
      </c>
      <c r="C27" s="27">
        <f>C28+C29+C30+C32+C33</f>
        <v>963037.94</v>
      </c>
      <c r="D27" s="27">
        <f t="shared" si="0"/>
        <v>963037.94</v>
      </c>
      <c r="E27" s="21">
        <f t="shared" si="1"/>
        <v>0</v>
      </c>
    </row>
    <row r="28" spans="1:6">
      <c r="A28" s="24" t="s">
        <v>9</v>
      </c>
      <c r="B28" s="25">
        <v>2271</v>
      </c>
      <c r="C28" s="26">
        <f>234448.86+18524.78+5168.78+228248.16</f>
        <v>486390.57999999996</v>
      </c>
      <c r="D28" s="26">
        <f t="shared" si="0"/>
        <v>486390.57999999996</v>
      </c>
      <c r="E28" s="21">
        <f t="shared" si="1"/>
        <v>0</v>
      </c>
    </row>
    <row r="29" spans="1:6">
      <c r="A29" s="24" t="s">
        <v>10</v>
      </c>
      <c r="B29" s="25">
        <v>2272</v>
      </c>
      <c r="C29" s="26">
        <f>15886.08+8120.5+8384.93+4943.28</f>
        <v>37334.79</v>
      </c>
      <c r="D29" s="26">
        <f t="shared" si="0"/>
        <v>37334.79</v>
      </c>
      <c r="E29" s="21">
        <f t="shared" si="1"/>
        <v>0</v>
      </c>
    </row>
    <row r="30" spans="1:6">
      <c r="A30" s="24" t="s">
        <v>11</v>
      </c>
      <c r="B30" s="25">
        <v>2273</v>
      </c>
      <c r="C30" s="26">
        <f>81699.56+69084.69+32676.27+118513.14</f>
        <v>301973.65999999997</v>
      </c>
      <c r="D30" s="26">
        <f t="shared" si="0"/>
        <v>301973.65999999997</v>
      </c>
      <c r="E30" s="21">
        <f t="shared" si="1"/>
        <v>0</v>
      </c>
    </row>
    <row r="31" spans="1:6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6">
      <c r="A32" s="24" t="s">
        <v>8</v>
      </c>
      <c r="B32" s="25">
        <v>2275</v>
      </c>
      <c r="C32" s="32">
        <f>795.74+1591.48+1989.35+1193.61</f>
        <v>5570.1799999999994</v>
      </c>
      <c r="D32" s="32">
        <f t="shared" si="0"/>
        <v>5570.1799999999994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>
        <v>131768.73000000001</v>
      </c>
      <c r="D33" s="32">
        <f t="shared" si="0"/>
        <v>131768.73000000001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 ht="15.75" thickBot="1">
      <c r="A38" s="5" t="s">
        <v>18</v>
      </c>
      <c r="B38" s="25">
        <v>3132</v>
      </c>
      <c r="C38" s="13"/>
      <c r="D38" s="13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7">
    <mergeCell ref="G16:J16"/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10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55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1541578.02</v>
      </c>
      <c r="D15" s="27">
        <f>C15</f>
        <v>1541578.02</v>
      </c>
      <c r="E15" s="21">
        <f>C15-D15</f>
        <v>0</v>
      </c>
      <c r="F15" s="21">
        <f>C18+C20+C21+C22+C23+C24+C25+C26+C27+C34+C36</f>
        <v>1541578.02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1541578.02</v>
      </c>
      <c r="D16" s="27">
        <f t="shared" ref="D16:D38" si="0">C16</f>
        <v>1541578.02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1526938.02</v>
      </c>
      <c r="D17" s="27">
        <f t="shared" si="0"/>
        <v>1526938.02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11058.3+26817.78+34349.03</f>
        <v>72225.11</v>
      </c>
      <c r="D22" s="27">
        <f t="shared" si="0"/>
        <v>72225.11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198570.46+82295.94</f>
        <v>280866.40000000002</v>
      </c>
      <c r="D24" s="27">
        <f t="shared" si="0"/>
        <v>280866.40000000002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4143.5</f>
        <v>4143.5</v>
      </c>
      <c r="D26" s="27">
        <f t="shared" si="0"/>
        <v>4143.5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C28+C29+C30+C32+C33+C31</f>
        <v>1169703.01</v>
      </c>
      <c r="D27" s="27">
        <f t="shared" si="0"/>
        <v>1169703.01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17713.29+1275.49+3558.91+10696.98</f>
        <v>33244.67</v>
      </c>
      <c r="D28" s="26">
        <f t="shared" si="0"/>
        <v>33244.67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3876.9+2918.59+2330.11+2899.92</f>
        <v>12025.52</v>
      </c>
      <c r="D29" s="26">
        <f t="shared" si="0"/>
        <v>12025.52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91189.81+51526.88+37751.8+123575.6</f>
        <v>304044.08999999997</v>
      </c>
      <c r="D30" s="26">
        <f t="shared" si="0"/>
        <v>304044.08999999997</v>
      </c>
      <c r="E30" s="21">
        <f t="shared" si="1"/>
        <v>0</v>
      </c>
    </row>
    <row r="31" spans="1:5">
      <c r="A31" s="24" t="s">
        <v>12</v>
      </c>
      <c r="B31" s="25">
        <v>2274</v>
      </c>
      <c r="C31" s="26">
        <f>401947.28+63506.22+17581.68+329197.19</f>
        <v>812232.37</v>
      </c>
      <c r="D31" s="26">
        <f t="shared" si="0"/>
        <v>812232.37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1193.62+994.68+994.68+795.74+795.74+1193.61+994.68+1193.61</f>
        <v>8156.3599999999988</v>
      </c>
      <c r="D32" s="32">
        <f t="shared" si="0"/>
        <v>8156.3599999999988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14640</v>
      </c>
      <c r="D34" s="27">
        <f t="shared" si="0"/>
        <v>14640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14640</f>
        <v>14640</v>
      </c>
      <c r="D35" s="26">
        <f t="shared" si="0"/>
        <v>14640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4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7">
      <c r="A1" s="48" t="s">
        <v>0</v>
      </c>
      <c r="B1" s="48"/>
      <c r="C1" s="48"/>
      <c r="D1" s="48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56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1017129.6099999999</v>
      </c>
      <c r="D15" s="27">
        <f>C15</f>
        <v>1017129.6099999999</v>
      </c>
      <c r="E15" s="21">
        <f>C15-D15</f>
        <v>0</v>
      </c>
      <c r="F15" s="21">
        <f>C18+C19+C20+C21+C22+C23+C24+C25+C26+C27+C34+C36</f>
        <v>1017129.6099999999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</f>
        <v>1017129.6099999999</v>
      </c>
      <c r="D16" s="27">
        <f t="shared" ref="D16:D38" si="0">C16</f>
        <v>1017129.6099999999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1017129.6099999999</v>
      </c>
      <c r="D17" s="27">
        <f t="shared" si="0"/>
        <v>1017129.6099999999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2060.8+17121.6+58586.56</f>
        <v>77768.959999999992</v>
      </c>
      <c r="D19" s="37">
        <f t="shared" si="0"/>
        <v>77768.959999999992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5310.86+10298.18+26935.05</f>
        <v>42544.09</v>
      </c>
      <c r="D22" s="27">
        <f t="shared" si="0"/>
        <v>42544.09</v>
      </c>
      <c r="E22" s="21">
        <f t="shared" si="1"/>
        <v>0</v>
      </c>
    </row>
    <row r="23" spans="1:5">
      <c r="A23" s="22" t="s">
        <v>34</v>
      </c>
      <c r="B23" s="23">
        <v>2240</v>
      </c>
      <c r="C23" s="33">
        <f>231998.94</f>
        <v>231998.94</v>
      </c>
      <c r="D23" s="27">
        <f t="shared" si="0"/>
        <v>231998.94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52933.47</f>
        <v>52933.47</v>
      </c>
      <c r="D24" s="27">
        <f t="shared" si="0"/>
        <v>52933.47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5640+11280+8573.5</f>
        <v>25493.5</v>
      </c>
      <c r="D26" s="27">
        <f t="shared" si="0"/>
        <v>25493.5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586390.64999999991</v>
      </c>
      <c r="D27" s="27">
        <f t="shared" si="0"/>
        <v>586390.64999999991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210879.83+19947.89+55658.62+200948.72</f>
        <v>487435.05999999994</v>
      </c>
      <c r="D28" s="26">
        <f t="shared" si="0"/>
        <v>487435.05999999994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4340.31+4493.95+8060.69+5397.17</f>
        <v>22292.120000000003</v>
      </c>
      <c r="D29" s="26">
        <f t="shared" si="0"/>
        <v>22292.120000000003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12047.81+10910.55+12359.23+35775.5</f>
        <v>71093.09</v>
      </c>
      <c r="D30" s="26">
        <f t="shared" si="0"/>
        <v>71093.09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795.94+1591.48+1989.35+1193.61</f>
        <v>5570.38</v>
      </c>
      <c r="D32" s="32">
        <f t="shared" si="0"/>
        <v>5570.38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57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814809.06</v>
      </c>
      <c r="D15" s="27">
        <f>C15</f>
        <v>814809.06</v>
      </c>
      <c r="E15" s="21">
        <f>C15-D15</f>
        <v>0</v>
      </c>
      <c r="F15" s="21">
        <f>C18+C20+C21+C22+C23+C24+C25+C26+C27+C34+C36</f>
        <v>814809.06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814809.06</v>
      </c>
      <c r="D16" s="27">
        <f t="shared" ref="D16:D38" si="0">C16</f>
        <v>814809.06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814809.06</v>
      </c>
      <c r="D17" s="27">
        <f t="shared" si="0"/>
        <v>814809.06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2928.5+19286.18+36429.05</f>
        <v>58643.73</v>
      </c>
      <c r="D22" s="27">
        <f t="shared" si="0"/>
        <v>58643.73</v>
      </c>
      <c r="E22" s="21">
        <f t="shared" si="1"/>
        <v>0</v>
      </c>
    </row>
    <row r="23" spans="1:5">
      <c r="A23" s="22" t="s">
        <v>34</v>
      </c>
      <c r="B23" s="23">
        <v>2240</v>
      </c>
      <c r="C23" s="33">
        <f>30000</f>
        <v>30000</v>
      </c>
      <c r="D23" s="27">
        <f t="shared" si="0"/>
        <v>30000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169898.99</f>
        <v>169898.99</v>
      </c>
      <c r="D24" s="27">
        <f t="shared" si="0"/>
        <v>169898.99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3403.5</f>
        <v>3403.5</v>
      </c>
      <c r="D26" s="27">
        <f t="shared" si="0"/>
        <v>3403.5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552862.84000000008</v>
      </c>
      <c r="D27" s="27">
        <f t="shared" si="0"/>
        <v>552862.84000000008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223936.7+14768.38+41206.68+158099.24</f>
        <v>438011</v>
      </c>
      <c r="D28" s="26">
        <f t="shared" si="0"/>
        <v>438011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3772.94+5141.86+5509.9+5755.39</f>
        <v>20180.09</v>
      </c>
      <c r="D29" s="26">
        <f t="shared" si="0"/>
        <v>20180.09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16827.79+22382.21+13066.62+37421.74</f>
        <v>89698.36</v>
      </c>
      <c r="D30" s="26">
        <f t="shared" si="0"/>
        <v>89698.36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596.81+1392.55+1790.42+1193.61</f>
        <v>4973.3899999999994</v>
      </c>
      <c r="D32" s="32">
        <f t="shared" si="0"/>
        <v>4973.3899999999994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28"/>
  <sheetViews>
    <sheetView view="pageBreakPreview" topLeftCell="A6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34" customWidth="1"/>
    <col min="2" max="2" width="10.85546875" style="34" customWidth="1"/>
    <col min="3" max="4" width="17.42578125" style="34" customWidth="1"/>
    <col min="5" max="7" width="0" style="34" hidden="1" customWidth="1"/>
    <col min="8" max="16384" width="14.42578125" style="34"/>
  </cols>
  <sheetData>
    <row r="1" spans="1:10">
      <c r="A1" s="48" t="s">
        <v>0</v>
      </c>
      <c r="B1" s="47"/>
      <c r="C1" s="47"/>
      <c r="D1" s="47"/>
    </row>
    <row r="2" spans="1:10">
      <c r="A2" s="48" t="s">
        <v>32</v>
      </c>
      <c r="B2" s="47"/>
      <c r="C2" s="47"/>
      <c r="D2" s="47"/>
    </row>
    <row r="3" spans="1:10">
      <c r="A3" s="48" t="s">
        <v>65</v>
      </c>
      <c r="B3" s="47"/>
      <c r="C3" s="47"/>
      <c r="D3" s="47"/>
    </row>
    <row r="4" spans="1:10">
      <c r="A4" s="1"/>
      <c r="B4" s="1"/>
      <c r="C4" s="2"/>
    </row>
    <row r="5" spans="1:10" ht="63.75" customHeight="1">
      <c r="A5" s="16" t="s">
        <v>23</v>
      </c>
      <c r="B5" s="45" t="s">
        <v>58</v>
      </c>
      <c r="C5" s="45"/>
      <c r="D5" s="45"/>
    </row>
    <row r="6" spans="1:10">
      <c r="A6" s="16" t="s">
        <v>24</v>
      </c>
      <c r="B6" s="15" t="s">
        <v>25</v>
      </c>
    </row>
    <row r="7" spans="1:10">
      <c r="A7" s="16" t="s">
        <v>26</v>
      </c>
      <c r="B7" s="15" t="s">
        <v>27</v>
      </c>
    </row>
    <row r="8" spans="1:10" ht="25.5">
      <c r="A8" s="1" t="s">
        <v>28</v>
      </c>
      <c r="B8" s="15" t="s">
        <v>29</v>
      </c>
    </row>
    <row r="9" spans="1:10" ht="38.25">
      <c r="A9" s="1" t="s">
        <v>30</v>
      </c>
      <c r="B9" s="49" t="s">
        <v>31</v>
      </c>
      <c r="C9" s="49"/>
      <c r="D9" s="49"/>
    </row>
    <row r="10" spans="1:10">
      <c r="A10" s="3" t="s">
        <v>21</v>
      </c>
    </row>
    <row r="11" spans="1:10">
      <c r="A11" s="3" t="s">
        <v>1</v>
      </c>
    </row>
    <row r="12" spans="1:10" ht="15.75">
      <c r="A12" s="46"/>
      <c r="B12" s="47"/>
      <c r="C12" s="47"/>
      <c r="D12" s="47"/>
    </row>
    <row r="13" spans="1:10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10">
      <c r="A14" s="23">
        <v>1</v>
      </c>
      <c r="B14" s="23">
        <v>2</v>
      </c>
      <c r="C14" s="23">
        <v>3</v>
      </c>
      <c r="D14" s="23">
        <v>4</v>
      </c>
    </row>
    <row r="15" spans="1:10" s="9" customFormat="1">
      <c r="A15" s="23" t="s">
        <v>3</v>
      </c>
      <c r="B15" s="23" t="s">
        <v>4</v>
      </c>
      <c r="C15" s="27">
        <f>C16+C36</f>
        <v>1538553.87</v>
      </c>
      <c r="D15" s="27">
        <f>C15</f>
        <v>1538553.87</v>
      </c>
      <c r="E15" s="21">
        <f>C15-D15</f>
        <v>0</v>
      </c>
      <c r="F15" s="21">
        <f>C18+C20+C21+C22+C23+C24+C25+C26+C27+C34+C36</f>
        <v>1538553.87</v>
      </c>
      <c r="G15" s="21">
        <f>F15-C15</f>
        <v>0</v>
      </c>
      <c r="H15" s="21"/>
      <c r="J15" s="21"/>
    </row>
    <row r="16" spans="1:10" s="8" customFormat="1" ht="24">
      <c r="A16" s="25" t="s">
        <v>19</v>
      </c>
      <c r="B16" s="23">
        <v>2000</v>
      </c>
      <c r="C16" s="27">
        <f>C17+C34</f>
        <v>1538553.87</v>
      </c>
      <c r="D16" s="27">
        <f t="shared" ref="D16:D38" si="0">C16</f>
        <v>1538553.87</v>
      </c>
      <c r="E16" s="21">
        <f t="shared" ref="E16:E38" si="1">C16-D16</f>
        <v>0</v>
      </c>
      <c r="H16" s="21"/>
      <c r="J16" s="21"/>
    </row>
    <row r="17" spans="1:12" s="10" customFormat="1">
      <c r="A17" s="22" t="s">
        <v>5</v>
      </c>
      <c r="B17" s="23">
        <v>2200</v>
      </c>
      <c r="C17" s="27">
        <f>C18+C20+C21+C22+C23+C24+C26+C27+C25+C19</f>
        <v>1538553.87</v>
      </c>
      <c r="D17" s="27">
        <f t="shared" si="0"/>
        <v>1538553.87</v>
      </c>
      <c r="E17" s="21">
        <f t="shared" si="1"/>
        <v>0</v>
      </c>
      <c r="H17" s="21"/>
      <c r="J17" s="21"/>
    </row>
    <row r="18" spans="1:12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  <c r="H18" s="21"/>
      <c r="J18" s="21"/>
    </row>
    <row r="19" spans="1:12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  <c r="H19" s="21"/>
      <c r="J19" s="21"/>
    </row>
    <row r="20" spans="1:12" s="7" customFormat="1">
      <c r="A20" s="28" t="s">
        <v>33</v>
      </c>
      <c r="B20" s="36">
        <v>2210</v>
      </c>
      <c r="C20" s="38">
        <f>36073.5</f>
        <v>36073.5</v>
      </c>
      <c r="D20" s="27">
        <f t="shared" si="0"/>
        <v>36073.5</v>
      </c>
      <c r="E20" s="21">
        <f t="shared" si="1"/>
        <v>0</v>
      </c>
      <c r="H20" s="21"/>
      <c r="J20" s="21"/>
    </row>
    <row r="21" spans="1:12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  <c r="H21" s="21"/>
      <c r="J21" s="21"/>
    </row>
    <row r="22" spans="1:12" s="11" customFormat="1">
      <c r="A22" s="22" t="s">
        <v>7</v>
      </c>
      <c r="B22" s="23">
        <v>2240</v>
      </c>
      <c r="C22" s="27">
        <f>5076.5+15192.18+53102.47</f>
        <v>73371.149999999994</v>
      </c>
      <c r="D22" s="27">
        <f t="shared" si="0"/>
        <v>73371.149999999994</v>
      </c>
      <c r="E22" s="21">
        <f t="shared" si="1"/>
        <v>0</v>
      </c>
      <c r="H22" s="21"/>
      <c r="J22" s="21"/>
    </row>
    <row r="23" spans="1:12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  <c r="H23" s="21"/>
      <c r="J23" s="21"/>
    </row>
    <row r="24" spans="1:12">
      <c r="A24" s="22" t="s">
        <v>20</v>
      </c>
      <c r="B24" s="23">
        <v>2240</v>
      </c>
      <c r="C24" s="33">
        <f>91689.62+189878.99</f>
        <v>281568.61</v>
      </c>
      <c r="D24" s="27">
        <f t="shared" si="0"/>
        <v>281568.61</v>
      </c>
      <c r="E24" s="21">
        <f t="shared" si="1"/>
        <v>0</v>
      </c>
      <c r="H24" s="21"/>
      <c r="J24" s="21"/>
    </row>
    <row r="25" spans="1:12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  <c r="H25" s="21"/>
      <c r="J25" s="21"/>
    </row>
    <row r="26" spans="1:12">
      <c r="A26" s="22" t="s">
        <v>35</v>
      </c>
      <c r="B26" s="23">
        <v>2240</v>
      </c>
      <c r="C26" s="33">
        <f>6662</f>
        <v>6662</v>
      </c>
      <c r="D26" s="27">
        <f t="shared" si="0"/>
        <v>6662</v>
      </c>
      <c r="E26" s="21">
        <f t="shared" si="1"/>
        <v>0</v>
      </c>
      <c r="H26" s="21"/>
      <c r="J26" s="21"/>
    </row>
    <row r="27" spans="1:12" s="11" customFormat="1">
      <c r="A27" s="22" t="s">
        <v>16</v>
      </c>
      <c r="B27" s="23">
        <v>2270</v>
      </c>
      <c r="C27" s="27">
        <f>C28+C29+C30+C32+C33</f>
        <v>1140878.6100000001</v>
      </c>
      <c r="D27" s="27">
        <f t="shared" si="0"/>
        <v>1140878.6100000001</v>
      </c>
      <c r="E27" s="21">
        <f t="shared" si="1"/>
        <v>0</v>
      </c>
      <c r="H27" s="21"/>
      <c r="J27" s="21"/>
    </row>
    <row r="28" spans="1:12">
      <c r="A28" s="24" t="s">
        <v>9</v>
      </c>
      <c r="B28" s="25">
        <v>2271</v>
      </c>
      <c r="C28" s="26">
        <f>316208.14+23306.47+65031.88+448648.12</f>
        <v>853194.61</v>
      </c>
      <c r="D28" s="26">
        <f t="shared" si="0"/>
        <v>853194.61</v>
      </c>
      <c r="E28" s="21">
        <f t="shared" si="1"/>
        <v>0</v>
      </c>
      <c r="H28" s="21"/>
      <c r="J28" s="44"/>
      <c r="L28" s="19"/>
    </row>
    <row r="29" spans="1:12">
      <c r="A29" s="24" t="s">
        <v>10</v>
      </c>
      <c r="B29" s="25">
        <v>2272</v>
      </c>
      <c r="C29" s="26">
        <f>5730.34+6269.95+10113.94+7291.2</f>
        <v>29405.430000000004</v>
      </c>
      <c r="D29" s="26">
        <f t="shared" si="0"/>
        <v>29405.430000000004</v>
      </c>
      <c r="E29" s="21">
        <f t="shared" si="1"/>
        <v>0</v>
      </c>
      <c r="H29" s="21"/>
      <c r="J29" s="44"/>
    </row>
    <row r="30" spans="1:12">
      <c r="A30" s="24" t="s">
        <v>11</v>
      </c>
      <c r="B30" s="25">
        <v>2273</v>
      </c>
      <c r="C30" s="26">
        <f>64876.15+42970.86+25894.07+113904.02</f>
        <v>247645.10000000003</v>
      </c>
      <c r="D30" s="26">
        <f t="shared" si="0"/>
        <v>247645.10000000003</v>
      </c>
      <c r="E30" s="21">
        <f t="shared" si="1"/>
        <v>0</v>
      </c>
      <c r="H30" s="21"/>
      <c r="J30" s="44"/>
    </row>
    <row r="31" spans="1:12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  <c r="H31" s="21"/>
      <c r="J31" s="44"/>
    </row>
    <row r="32" spans="1:12">
      <c r="A32" s="24" t="s">
        <v>8</v>
      </c>
      <c r="B32" s="25">
        <v>2275</v>
      </c>
      <c r="C32" s="32">
        <f>1581.18+1936.95+1185.89+2371.78+1185.89+2371.78</f>
        <v>10633.470000000001</v>
      </c>
      <c r="D32" s="32">
        <f t="shared" si="0"/>
        <v>10633.470000000001</v>
      </c>
      <c r="E32" s="21">
        <f t="shared" si="1"/>
        <v>0</v>
      </c>
      <c r="H32" s="21"/>
      <c r="J32" s="44"/>
    </row>
    <row r="33" spans="1:10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  <c r="H33" s="21"/>
      <c r="J33" s="44"/>
    </row>
    <row r="34" spans="1:10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  <c r="H34" s="21"/>
      <c r="J34" s="21"/>
    </row>
    <row r="35" spans="1:10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  <c r="H35" s="21"/>
      <c r="J35" s="21"/>
    </row>
    <row r="36" spans="1:10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  <c r="H36" s="21"/>
      <c r="J36" s="21"/>
    </row>
    <row r="37" spans="1:10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  <c r="H37" s="21"/>
      <c r="J37" s="21"/>
    </row>
    <row r="38" spans="1:10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  <c r="H38" s="21"/>
      <c r="J38" s="21"/>
    </row>
    <row r="39" spans="1:10" ht="18">
      <c r="A39" s="4"/>
      <c r="C39" s="19"/>
      <c r="D39" s="19"/>
    </row>
    <row r="40" spans="1:10" ht="15" customHeight="1">
      <c r="C40" s="19"/>
      <c r="D40" s="19"/>
      <c r="H40" s="19"/>
    </row>
    <row r="41" spans="1:10" ht="15" customHeight="1">
      <c r="C41" s="19"/>
      <c r="D41" s="19"/>
      <c r="H41" s="19"/>
    </row>
    <row r="46" spans="1:10" s="7" customFormat="1"/>
    <row r="47" spans="1:10" s="7" customFormat="1"/>
    <row r="48" spans="1:10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2:D12"/>
    <mergeCell ref="A1:D1"/>
    <mergeCell ref="A2:D2"/>
    <mergeCell ref="A3:D3"/>
    <mergeCell ref="B5:D5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topLeftCell="A13" zoomScaleNormal="60" zoomScaleSheetLayoutView="100" workbookViewId="0">
      <selection activeCell="C34" sqref="C34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52.5" customHeight="1">
      <c r="A5" s="16" t="s">
        <v>23</v>
      </c>
      <c r="B5" s="45" t="s">
        <v>38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1138631.75</v>
      </c>
      <c r="D15" s="27">
        <f>C15</f>
        <v>1138631.75</v>
      </c>
      <c r="E15" s="21">
        <f>C15-D15</f>
        <v>0</v>
      </c>
      <c r="F15" s="21">
        <f>C18+C19+C20+C21+C22+C23+C24+C25+C26+C27+C34+C36</f>
        <v>1138631.75</v>
      </c>
      <c r="G15" s="21">
        <f>F15-C15</f>
        <v>0</v>
      </c>
    </row>
    <row r="16" spans="1:7" s="8" customFormat="1" ht="24">
      <c r="A16" s="25" t="s">
        <v>19</v>
      </c>
      <c r="B16" s="40">
        <v>2000</v>
      </c>
      <c r="C16" s="33">
        <f>C17+C34</f>
        <v>1138631.75</v>
      </c>
      <c r="D16" s="33">
        <f t="shared" ref="D16:D38" si="0">C16</f>
        <v>1138631.75</v>
      </c>
      <c r="E16" s="21">
        <f t="shared" ref="E16:E38" si="1">C16-D16</f>
        <v>0</v>
      </c>
    </row>
    <row r="17" spans="1:5" s="10" customFormat="1">
      <c r="A17" s="22" t="s">
        <v>5</v>
      </c>
      <c r="B17" s="40">
        <v>2200</v>
      </c>
      <c r="C17" s="27">
        <f>C18+C20+C21+C22+C23+C24+C26+C27+C25+C19</f>
        <v>1138631.75</v>
      </c>
      <c r="D17" s="33">
        <f t="shared" si="0"/>
        <v>1138631.75</v>
      </c>
      <c r="E17" s="21">
        <f t="shared" si="1"/>
        <v>0</v>
      </c>
    </row>
    <row r="18" spans="1:5" s="11" customFormat="1">
      <c r="A18" s="28" t="s">
        <v>6</v>
      </c>
      <c r="B18" s="39">
        <v>2210</v>
      </c>
      <c r="C18" s="30">
        <f>5025</f>
        <v>5025</v>
      </c>
      <c r="D18" s="30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9">
        <v>2210</v>
      </c>
      <c r="C19" s="30"/>
      <c r="D19" s="30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9">
        <v>2210</v>
      </c>
      <c r="C20" s="31"/>
      <c r="D20" s="31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40">
        <v>2210</v>
      </c>
      <c r="C21" s="33"/>
      <c r="D21" s="33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40">
        <v>2240</v>
      </c>
      <c r="C22" s="33">
        <f>5157.14+11193.42+23155.99</f>
        <v>39506.550000000003</v>
      </c>
      <c r="D22" s="33">
        <f t="shared" si="0"/>
        <v>39506.550000000003</v>
      </c>
      <c r="E22" s="21">
        <f t="shared" si="1"/>
        <v>0</v>
      </c>
    </row>
    <row r="23" spans="1:5">
      <c r="A23" s="22" t="s">
        <v>34</v>
      </c>
      <c r="B23" s="40">
        <v>2240</v>
      </c>
      <c r="C23" s="33">
        <f>115727.34</f>
        <v>115727.34</v>
      </c>
      <c r="D23" s="33">
        <f t="shared" si="0"/>
        <v>115727.34</v>
      </c>
      <c r="E23" s="21">
        <f t="shared" si="1"/>
        <v>0</v>
      </c>
    </row>
    <row r="24" spans="1:5">
      <c r="A24" s="22" t="s">
        <v>20</v>
      </c>
      <c r="B24" s="40">
        <v>2240</v>
      </c>
      <c r="C24" s="33">
        <f>174117.87</f>
        <v>174117.87</v>
      </c>
      <c r="D24" s="33">
        <f t="shared" si="0"/>
        <v>174117.87</v>
      </c>
      <c r="E24" s="21">
        <f t="shared" si="1"/>
        <v>0</v>
      </c>
    </row>
    <row r="25" spans="1:5" s="35" customFormat="1" ht="24">
      <c r="A25" s="22" t="s">
        <v>60</v>
      </c>
      <c r="B25" s="40">
        <v>2240</v>
      </c>
      <c r="C25" s="33"/>
      <c r="D25" s="33">
        <f t="shared" si="0"/>
        <v>0</v>
      </c>
      <c r="E25" s="21">
        <f t="shared" si="1"/>
        <v>0</v>
      </c>
    </row>
    <row r="26" spans="1:5">
      <c r="A26" s="22" t="s">
        <v>35</v>
      </c>
      <c r="B26" s="40">
        <v>2240</v>
      </c>
      <c r="C26" s="33">
        <f>6512</f>
        <v>6512</v>
      </c>
      <c r="D26" s="33">
        <f t="shared" si="0"/>
        <v>6512</v>
      </c>
      <c r="E26" s="21">
        <f t="shared" si="1"/>
        <v>0</v>
      </c>
    </row>
    <row r="27" spans="1:5" s="11" customFormat="1">
      <c r="A27" s="22" t="s">
        <v>16</v>
      </c>
      <c r="B27" s="40">
        <v>2270</v>
      </c>
      <c r="C27" s="27">
        <f>C28+C29+C30+C32+C33</f>
        <v>797742.99</v>
      </c>
      <c r="D27" s="33">
        <f t="shared" si="0"/>
        <v>797742.99</v>
      </c>
      <c r="E27" s="21">
        <f t="shared" si="1"/>
        <v>0</v>
      </c>
    </row>
    <row r="28" spans="1:5">
      <c r="A28" s="24" t="s">
        <v>9</v>
      </c>
      <c r="B28" s="41">
        <v>2271</v>
      </c>
      <c r="C28" s="32">
        <f>163808.95+16174.71+45130.65+155945.41</f>
        <v>381059.72</v>
      </c>
      <c r="D28" s="32">
        <f t="shared" si="0"/>
        <v>381059.72</v>
      </c>
      <c r="E28" s="21">
        <f t="shared" si="1"/>
        <v>0</v>
      </c>
    </row>
    <row r="29" spans="1:5">
      <c r="A29" s="24" t="s">
        <v>10</v>
      </c>
      <c r="B29" s="41">
        <v>2272</v>
      </c>
      <c r="C29" s="32">
        <f>2045.76+2494.32+2922.96+2216.64</f>
        <v>9679.68</v>
      </c>
      <c r="D29" s="32">
        <f t="shared" si="0"/>
        <v>9679.68</v>
      </c>
      <c r="E29" s="21">
        <f t="shared" si="1"/>
        <v>0</v>
      </c>
    </row>
    <row r="30" spans="1:5">
      <c r="A30" s="24" t="s">
        <v>11</v>
      </c>
      <c r="B30" s="41">
        <v>2273</v>
      </c>
      <c r="C30" s="32">
        <f>19594.99+19412.36+10255.99+23866.03</f>
        <v>73129.37</v>
      </c>
      <c r="D30" s="32">
        <f t="shared" si="0"/>
        <v>73129.37</v>
      </c>
      <c r="E30" s="21">
        <f t="shared" si="1"/>
        <v>0</v>
      </c>
    </row>
    <row r="31" spans="1:5" hidden="1">
      <c r="A31" s="24" t="s">
        <v>12</v>
      </c>
      <c r="B31" s="41">
        <v>2274</v>
      </c>
      <c r="C31" s="32"/>
      <c r="D31" s="32">
        <f t="shared" si="0"/>
        <v>0</v>
      </c>
      <c r="E31" s="21">
        <f t="shared" si="1"/>
        <v>0</v>
      </c>
    </row>
    <row r="32" spans="1:5">
      <c r="A32" s="24" t="s">
        <v>8</v>
      </c>
      <c r="B32" s="41">
        <v>2275</v>
      </c>
      <c r="C32" s="32">
        <f>1392.55+994.68+994.68+994.68+795.74+1193.61+994.68</f>
        <v>7360.62</v>
      </c>
      <c r="D32" s="32">
        <f t="shared" si="0"/>
        <v>7360.62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>
        <f>270789.67+55723.93</f>
        <v>326513.59999999998</v>
      </c>
      <c r="D33" s="32">
        <f t="shared" si="0"/>
        <v>326513.59999999998</v>
      </c>
      <c r="E33" s="21">
        <f t="shared" si="1"/>
        <v>0</v>
      </c>
    </row>
    <row r="34" spans="1:5" s="10" customFormat="1">
      <c r="A34" s="22" t="s">
        <v>13</v>
      </c>
      <c r="B34" s="40">
        <v>2700</v>
      </c>
      <c r="C34" s="32">
        <f>C35</f>
        <v>0</v>
      </c>
      <c r="D34" s="32">
        <f t="shared" si="0"/>
        <v>0</v>
      </c>
      <c r="E34" s="21">
        <f t="shared" si="1"/>
        <v>0</v>
      </c>
    </row>
    <row r="35" spans="1:5">
      <c r="A35" s="24" t="s">
        <v>14</v>
      </c>
      <c r="B35" s="41">
        <v>2730</v>
      </c>
      <c r="C35" s="32"/>
      <c r="D35" s="32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40">
        <v>3000</v>
      </c>
      <c r="C36" s="32">
        <f>C37+C38</f>
        <v>0</v>
      </c>
      <c r="D36" s="32">
        <f t="shared" si="0"/>
        <v>0</v>
      </c>
      <c r="E36" s="21">
        <f t="shared" si="1"/>
        <v>0</v>
      </c>
    </row>
    <row r="37" spans="1:5">
      <c r="A37" s="24" t="s">
        <v>17</v>
      </c>
      <c r="B37" s="41">
        <v>3110</v>
      </c>
      <c r="C37" s="32"/>
      <c r="D37" s="32">
        <f t="shared" si="0"/>
        <v>0</v>
      </c>
      <c r="E37" s="21">
        <f t="shared" si="1"/>
        <v>0</v>
      </c>
    </row>
    <row r="38" spans="1:5">
      <c r="A38" s="24" t="s">
        <v>18</v>
      </c>
      <c r="B38" s="41">
        <v>3132</v>
      </c>
      <c r="C38" s="32"/>
      <c r="D38" s="32">
        <f t="shared" si="0"/>
        <v>0</v>
      </c>
      <c r="E38" s="21">
        <f t="shared" si="1"/>
        <v>0</v>
      </c>
    </row>
    <row r="39" spans="1:5" ht="18">
      <c r="A39" s="4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view="pageBreakPreview" topLeftCell="A13" zoomScaleNormal="70" zoomScaleSheetLayoutView="100" workbookViewId="0">
      <selection activeCell="H37" sqref="H37"/>
    </sheetView>
  </sheetViews>
  <sheetFormatPr defaultColWidth="14.42578125" defaultRowHeight="15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52.5" customHeight="1">
      <c r="A5" s="16" t="s">
        <v>23</v>
      </c>
      <c r="B5" s="45" t="s">
        <v>39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1735333.41</v>
      </c>
      <c r="D15" s="27">
        <f>C15</f>
        <v>1735333.41</v>
      </c>
      <c r="E15" s="21">
        <f>C15-D15</f>
        <v>0</v>
      </c>
      <c r="F15" s="21">
        <f>C18+C19+C20+C21+C22+C23+C24+C25+C26+C27+C34+C36</f>
        <v>1735333.4100000001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1685334.41</v>
      </c>
      <c r="D16" s="27">
        <f t="shared" ref="D16:D38" si="0">C16</f>
        <v>1685334.41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1685334.41</v>
      </c>
      <c r="D17" s="27">
        <f t="shared" si="0"/>
        <v>1685334.41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21243.2+45419.1</f>
        <v>66662.3</v>
      </c>
      <c r="D19" s="37">
        <f t="shared" si="0"/>
        <v>66662.3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3890.12+25199.68+62911.31</f>
        <v>92001.11</v>
      </c>
      <c r="D22" s="27">
        <f t="shared" si="0"/>
        <v>92001.11</v>
      </c>
      <c r="E22" s="21">
        <f t="shared" si="1"/>
        <v>0</v>
      </c>
    </row>
    <row r="23" spans="1:5">
      <c r="A23" s="22" t="s">
        <v>34</v>
      </c>
      <c r="B23" s="23">
        <v>2240</v>
      </c>
      <c r="C23" s="27">
        <f>50000</f>
        <v>50000</v>
      </c>
      <c r="D23" s="27">
        <f t="shared" si="0"/>
        <v>50000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f>89828</f>
        <v>89828</v>
      </c>
      <c r="D24" s="27">
        <f t="shared" si="0"/>
        <v>89828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>
        <f>5153.5</f>
        <v>5153.5</v>
      </c>
      <c r="D26" s="27">
        <f t="shared" si="0"/>
        <v>5153.5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1381689.5</v>
      </c>
      <c r="D27" s="27">
        <f t="shared" si="0"/>
        <v>1381689.5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674085.31+28044.82+78250.66+384267.75</f>
        <v>1164648.54</v>
      </c>
      <c r="D28" s="26">
        <f t="shared" si="0"/>
        <v>1164648.54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14524.42+9947.23+7100.41+7652.74</f>
        <v>39224.800000000003</v>
      </c>
      <c r="D29" s="26">
        <f t="shared" si="0"/>
        <v>39224.800000000003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42989.39+32674.43+31877.31+64704.84</f>
        <v>172245.97</v>
      </c>
      <c r="D30" s="26">
        <f t="shared" si="0"/>
        <v>172245.97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f>596.81+1591.48+2188.29+1193.61</f>
        <v>5570.19</v>
      </c>
      <c r="D32" s="26">
        <f t="shared" si="0"/>
        <v>5570.19</v>
      </c>
      <c r="E32" s="21">
        <f t="shared" si="1"/>
        <v>0</v>
      </c>
    </row>
    <row r="33" spans="1:8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8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8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8" s="8" customFormat="1">
      <c r="A36" s="23" t="s">
        <v>15</v>
      </c>
      <c r="B36" s="23">
        <v>3000</v>
      </c>
      <c r="C36" s="26">
        <f>C37+C38</f>
        <v>49999</v>
      </c>
      <c r="D36" s="26">
        <f t="shared" si="0"/>
        <v>49999</v>
      </c>
      <c r="E36" s="21">
        <f t="shared" si="1"/>
        <v>0</v>
      </c>
    </row>
    <row r="37" spans="1:8">
      <c r="A37" s="24" t="s">
        <v>17</v>
      </c>
      <c r="B37" s="25">
        <v>3110</v>
      </c>
      <c r="C37" s="50">
        <v>49999</v>
      </c>
      <c r="D37" s="26">
        <f t="shared" si="0"/>
        <v>49999</v>
      </c>
      <c r="E37" s="21">
        <f t="shared" si="1"/>
        <v>0</v>
      </c>
      <c r="H37" s="51" t="s">
        <v>66</v>
      </c>
    </row>
    <row r="38" spans="1:8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8" ht="18">
      <c r="A39" s="4"/>
      <c r="C39" s="19"/>
      <c r="D39" s="19"/>
    </row>
    <row r="40" spans="1:8" ht="15" customHeight="1">
      <c r="C40" s="19"/>
      <c r="D40" s="19"/>
    </row>
    <row r="41" spans="1:8" ht="15" customHeight="1">
      <c r="C41" s="19"/>
      <c r="D41" s="19"/>
    </row>
    <row r="42" spans="1:8" ht="15" customHeight="1">
      <c r="C42" s="19"/>
      <c r="D42" s="19"/>
    </row>
    <row r="43" spans="1:8" ht="15" customHeight="1">
      <c r="C43" s="19"/>
      <c r="D43" s="19"/>
    </row>
    <row r="44" spans="1:8" ht="15" customHeight="1"/>
    <row r="45" spans="1:8" ht="15" customHeight="1"/>
    <row r="46" spans="1:8" s="7" customFormat="1"/>
    <row r="47" spans="1:8" s="7" customFormat="1"/>
    <row r="48" spans="1:8" s="7" customForma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s="7" customFormat="1"/>
    <row r="85" s="7" customFormat="1"/>
    <row r="86" s="7" customForma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="7" customFormat="1"/>
    <row r="123" s="7" customFormat="1"/>
    <row r="124" s="7" customForma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s="7" customFormat="1"/>
    <row r="161" s="7" customFormat="1"/>
    <row r="162" s="7" customForma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s="7" customFormat="1"/>
    <row r="199" s="7" customFormat="1"/>
    <row r="200" s="7" customFormat="1"/>
    <row r="201" ht="15" customHeight="1"/>
    <row r="202" ht="15" customHeigh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52.5" customHeight="1">
      <c r="A5" s="16" t="s">
        <v>23</v>
      </c>
      <c r="B5" s="45" t="s">
        <v>40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1998418.1</v>
      </c>
      <c r="D15" s="27">
        <f>C15</f>
        <v>1998418.1</v>
      </c>
      <c r="E15" s="21">
        <f>C15-D15</f>
        <v>0</v>
      </c>
      <c r="F15" s="21">
        <f>C18+C19+C20+C21+C22+C23+C24+C25+C26+C27+C34+C36</f>
        <v>1998418.1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1998418.1</v>
      </c>
      <c r="D16" s="27">
        <f t="shared" ref="D16:D38" si="0">C16</f>
        <v>1998418.1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1998418.1</v>
      </c>
      <c r="D17" s="27">
        <f t="shared" si="0"/>
        <v>1998418.1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2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23304+149805.1</f>
        <v>173109.1</v>
      </c>
      <c r="D19" s="37">
        <f t="shared" si="0"/>
        <v>173109.1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2928.5+15236.18+77089.05</f>
        <v>95253.73000000001</v>
      </c>
      <c r="D22" s="27">
        <f t="shared" si="0"/>
        <v>95253.73000000001</v>
      </c>
      <c r="E22" s="21">
        <f t="shared" si="1"/>
        <v>0</v>
      </c>
    </row>
    <row r="23" spans="1:5">
      <c r="A23" s="22" t="s">
        <v>34</v>
      </c>
      <c r="B23" s="23">
        <v>2240</v>
      </c>
      <c r="C23" s="27">
        <f>50000</f>
        <v>50000</v>
      </c>
      <c r="D23" s="27">
        <f t="shared" si="0"/>
        <v>50000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f>111899.88</f>
        <v>111899.88</v>
      </c>
      <c r="D24" s="27">
        <f t="shared" si="0"/>
        <v>111899.88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>
        <f>5398.5</f>
        <v>5398.5</v>
      </c>
      <c r="D26" s="27">
        <f t="shared" si="0"/>
        <v>5398.5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1557731.8900000001</v>
      </c>
      <c r="D27" s="27">
        <f t="shared" si="0"/>
        <v>1557731.8900000001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460849.51+47974.31+133857.75+765567.36</f>
        <v>1408248.9300000002</v>
      </c>
      <c r="D28" s="26">
        <f t="shared" si="0"/>
        <v>1408248.9300000002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3290.69+1616.98+2231.14+1954.08</f>
        <v>9092.89</v>
      </c>
      <c r="D29" s="26">
        <f t="shared" si="0"/>
        <v>9092.89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37824.32+27130.82+19621.12+51244.73</f>
        <v>135820.99</v>
      </c>
      <c r="D30" s="26">
        <f t="shared" si="0"/>
        <v>135820.99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f>596.81+994.68+988.24+795.74+1193.61</f>
        <v>4569.079999999999</v>
      </c>
      <c r="D32" s="26">
        <f t="shared" si="0"/>
        <v>4569.079999999999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2" sqref="C32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2.25" customHeight="1">
      <c r="A5" s="16" t="s">
        <v>23</v>
      </c>
      <c r="B5" s="45" t="s">
        <v>41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1087515.7199999997</v>
      </c>
      <c r="D15" s="27">
        <f>C15</f>
        <v>1087515.7199999997</v>
      </c>
      <c r="E15" s="21">
        <f>C15-D15</f>
        <v>0</v>
      </c>
      <c r="F15" s="21">
        <f>C18+C19+C20+C21+C22+C23+C24+C25+C26+C27+C34+C36</f>
        <v>1087515.7199999997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1087515.7199999997</v>
      </c>
      <c r="D16" s="27">
        <f t="shared" ref="D16:D38" si="0">C16</f>
        <v>1087515.7199999997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1087515.7199999997</v>
      </c>
      <c r="D17" s="27">
        <f t="shared" si="0"/>
        <v>1087515.7199999997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3176.5+8956.18+58033.05</f>
        <v>70165.73000000001</v>
      </c>
      <c r="D22" s="27">
        <f t="shared" si="0"/>
        <v>70165.73000000001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f>4660.6+160202+199900</f>
        <v>364762.6</v>
      </c>
      <c r="D24" s="27">
        <f t="shared" si="0"/>
        <v>364762.6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>
        <f>6083.5</f>
        <v>6083.5</v>
      </c>
      <c r="D26" s="27">
        <f t="shared" si="0"/>
        <v>6083.5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646503.8899999999</v>
      </c>
      <c r="D27" s="27">
        <f t="shared" si="0"/>
        <v>646503.8899999999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174234.32+16153.3+45070.86+176090.86</f>
        <v>411549.33999999997</v>
      </c>
      <c r="D28" s="26">
        <f t="shared" si="0"/>
        <v>411549.33999999997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6921.79+3299.81+3936.34+4063.87</f>
        <v>18221.810000000001</v>
      </c>
      <c r="D29" s="26">
        <f t="shared" si="0"/>
        <v>18221.810000000001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92789.91+46998.68+30753.92+42211.53</f>
        <v>212754.04</v>
      </c>
      <c r="D30" s="26">
        <f t="shared" si="0"/>
        <v>212754.04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f>397.87+1193.61+1193.61+1193.61</f>
        <v>3978.7</v>
      </c>
      <c r="D32" s="26">
        <f t="shared" si="0"/>
        <v>3978.7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60" zoomScaleSheetLayoutView="100" workbookViewId="0">
      <selection activeCell="C32" sqref="C32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2.25" customHeight="1">
      <c r="A5" s="16" t="s">
        <v>23</v>
      </c>
      <c r="B5" s="45" t="s">
        <v>42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1043341.53</v>
      </c>
      <c r="D15" s="27">
        <f>C15</f>
        <v>1043341.53</v>
      </c>
      <c r="E15" s="21">
        <f>C15-D15</f>
        <v>0</v>
      </c>
      <c r="F15" s="21">
        <f>C18+C20+C21+C22+C23+C24+C25+C26+C27+C34+C36</f>
        <v>1043341.53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1043341.53</v>
      </c>
      <c r="D16" s="27">
        <f t="shared" ref="D16:D38" si="0">C16</f>
        <v>1043341.53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1043341.53</v>
      </c>
      <c r="D17" s="27">
        <f t="shared" si="0"/>
        <v>1043341.53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3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>
        <f>99810.89</f>
        <v>99810.89</v>
      </c>
      <c r="D20" s="38">
        <f t="shared" si="0"/>
        <v>99810.89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3176.5+19256.18+20533.05</f>
        <v>42965.729999999996</v>
      </c>
      <c r="D22" s="27">
        <f t="shared" si="0"/>
        <v>42965.729999999996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f>59900</f>
        <v>59900</v>
      </c>
      <c r="D24" s="27">
        <f t="shared" si="0"/>
        <v>59900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>
        <f>5908.5</f>
        <v>5908.5</v>
      </c>
      <c r="D26" s="27">
        <f t="shared" si="0"/>
        <v>5908.5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829731.41</v>
      </c>
      <c r="D27" s="27">
        <f t="shared" si="0"/>
        <v>829731.41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412130.46+18080.86+50297.88+279236.45</f>
        <v>759745.65</v>
      </c>
      <c r="D28" s="26">
        <f t="shared" si="0"/>
        <v>759745.65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3547.02+1616.98+1820.11+1843.92</f>
        <v>8828.0299999999988</v>
      </c>
      <c r="D29" s="26">
        <f t="shared" si="0"/>
        <v>8828.0299999999988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15233.64+22326.03+8947.04+10871.24</f>
        <v>57377.95</v>
      </c>
      <c r="D30" s="26">
        <f t="shared" si="0"/>
        <v>57377.95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f>795.75+994.68+795.74+1193.61</f>
        <v>3779.7799999999997</v>
      </c>
      <c r="D32" s="26">
        <f t="shared" si="0"/>
        <v>3779.7799999999997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2" sqref="C32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68.25" customHeight="1">
      <c r="A5" s="16" t="s">
        <v>23</v>
      </c>
      <c r="B5" s="45" t="s">
        <v>43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306775.51</v>
      </c>
      <c r="D15" s="27">
        <f>C15</f>
        <v>306775.51</v>
      </c>
      <c r="E15" s="21">
        <f>C15-D15</f>
        <v>0</v>
      </c>
      <c r="F15" s="21">
        <f>C18+C20+C21+C22+C23+C24+C25+C26+C27+C34+C36</f>
        <v>306775.51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306775.51</v>
      </c>
      <c r="D16" s="27">
        <f t="shared" ref="D16:D38" si="0">C16</f>
        <v>306775.51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306775.51</v>
      </c>
      <c r="D17" s="27">
        <f t="shared" si="0"/>
        <v>306775.51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62024.5+5940.18+77695.86</f>
        <v>145660.53999999998</v>
      </c>
      <c r="D22" s="27">
        <f t="shared" si="0"/>
        <v>145660.53999999998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>
        <f>4038.5</f>
        <v>4038.5</v>
      </c>
      <c r="D26" s="27">
        <f t="shared" si="0"/>
        <v>4038.5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157076.47</v>
      </c>
      <c r="D27" s="27">
        <f t="shared" si="0"/>
        <v>157076.47</v>
      </c>
      <c r="E27" s="21">
        <f t="shared" si="1"/>
        <v>0</v>
      </c>
    </row>
    <row r="28" spans="1:5">
      <c r="A28" s="24" t="s">
        <v>9</v>
      </c>
      <c r="B28" s="25">
        <v>2271</v>
      </c>
      <c r="C28" s="26"/>
      <c r="D28" s="26">
        <f t="shared" si="0"/>
        <v>0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141.84+510.62+141.84+198.58</f>
        <v>992.88000000000011</v>
      </c>
      <c r="D29" s="26">
        <f t="shared" si="0"/>
        <v>992.88000000000011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77353.29+37854.11+40876.19</f>
        <v>156083.59</v>
      </c>
      <c r="D30" s="26">
        <f t="shared" si="0"/>
        <v>156083.59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v>0</v>
      </c>
      <c r="D32" s="26">
        <f t="shared" si="0"/>
        <v>0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8"/>
  <sheetViews>
    <sheetView view="pageBreakPreview" topLeftCell="A13" zoomScaleNormal="70" zoomScaleSheetLayoutView="100" workbookViewId="0">
      <selection activeCell="D43" sqref="D4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65</v>
      </c>
      <c r="B3" s="47"/>
      <c r="C3" s="47"/>
      <c r="D3" s="47"/>
    </row>
    <row r="4" spans="1:7">
      <c r="A4" s="1"/>
      <c r="B4" s="1"/>
      <c r="C4" s="2"/>
    </row>
    <row r="5" spans="1:7" ht="46.5" customHeight="1">
      <c r="A5" s="16" t="s">
        <v>23</v>
      </c>
      <c r="B5" s="45" t="s">
        <v>44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63</v>
      </c>
      <c r="D13" s="25" t="s">
        <v>64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541295.37000000011</v>
      </c>
      <c r="D15" s="27">
        <f>C15</f>
        <v>541295.37000000011</v>
      </c>
      <c r="E15" s="21">
        <f>C15-D15</f>
        <v>0</v>
      </c>
      <c r="F15" s="21">
        <f>C18+C20+C21+C22+C23+C24+C25+C26+C27+C34+C36+C19</f>
        <v>541295.37000000011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491296.37000000005</v>
      </c>
      <c r="D16" s="27">
        <f t="shared" ref="D16:D38" si="0">C16</f>
        <v>491296.37000000005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491296.37000000005</v>
      </c>
      <c r="D17" s="27">
        <f t="shared" si="0"/>
        <v>491296.37000000005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3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20559.6+19182.4+10737</f>
        <v>50479</v>
      </c>
      <c r="D19" s="37">
        <f t="shared" si="0"/>
        <v>50479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2508.5+6526.18+8839.05</f>
        <v>17873.73</v>
      </c>
      <c r="D22" s="27">
        <f t="shared" si="0"/>
        <v>17873.73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f>89554</f>
        <v>89554</v>
      </c>
      <c r="D24" s="27">
        <f t="shared" si="0"/>
        <v>89554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/>
    </row>
    <row r="26" spans="1:5">
      <c r="A26" s="22" t="s">
        <v>35</v>
      </c>
      <c r="B26" s="23">
        <v>2240</v>
      </c>
      <c r="C26" s="27">
        <f>5340+10680+8558.5</f>
        <v>24578.5</v>
      </c>
      <c r="D26" s="27">
        <f t="shared" si="0"/>
        <v>24578.5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303786.14000000007</v>
      </c>
      <c r="D27" s="27">
        <f t="shared" si="0"/>
        <v>303786.14000000007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84523.39+6933.52+19345.88+108055.6</f>
        <v>218858.39</v>
      </c>
      <c r="D28" s="26">
        <f t="shared" si="0"/>
        <v>218858.39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1184.45+1168.53+1276.56+1021.25</f>
        <v>4650.79</v>
      </c>
      <c r="D29" s="26">
        <f t="shared" si="0"/>
        <v>4650.79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16209.2+17031.93+19403.52+24250.41</f>
        <v>76895.060000000012</v>
      </c>
      <c r="D30" s="26">
        <f t="shared" si="0"/>
        <v>76895.060000000012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f>397.87+994.68+795.74+1193.61</f>
        <v>3381.8999999999996</v>
      </c>
      <c r="D32" s="26">
        <f t="shared" si="0"/>
        <v>3381.8999999999996</v>
      </c>
      <c r="E32" s="21">
        <f t="shared" si="1"/>
        <v>0</v>
      </c>
    </row>
    <row r="33" spans="1:8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8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8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8" s="8" customFormat="1">
      <c r="A36" s="23" t="s">
        <v>15</v>
      </c>
      <c r="B36" s="23">
        <v>3000</v>
      </c>
      <c r="C36" s="26">
        <f>C37+C38</f>
        <v>49999</v>
      </c>
      <c r="D36" s="26">
        <f t="shared" si="0"/>
        <v>49999</v>
      </c>
      <c r="E36" s="21">
        <f t="shared" si="1"/>
        <v>0</v>
      </c>
    </row>
    <row r="37" spans="1:8">
      <c r="A37" s="24" t="s">
        <v>17</v>
      </c>
      <c r="B37" s="25">
        <v>3110</v>
      </c>
      <c r="C37" s="50">
        <v>49999</v>
      </c>
      <c r="D37" s="26">
        <f t="shared" si="0"/>
        <v>49999</v>
      </c>
      <c r="E37" s="21">
        <f t="shared" si="1"/>
        <v>0</v>
      </c>
      <c r="H37" s="51" t="s">
        <v>66</v>
      </c>
    </row>
    <row r="38" spans="1:8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8" ht="18">
      <c r="A39" s="4"/>
      <c r="C39" s="19"/>
      <c r="D39" s="19"/>
    </row>
    <row r="40" spans="1:8" ht="15" customHeight="1">
      <c r="C40" s="19"/>
      <c r="D40" s="19"/>
    </row>
    <row r="41" spans="1:8" ht="15" customHeight="1">
      <c r="C41" s="19"/>
      <c r="D41" s="19"/>
    </row>
    <row r="42" spans="1:8" ht="15" customHeight="1">
      <c r="C42" s="19"/>
      <c r="D42" s="19"/>
    </row>
    <row r="46" spans="1:8" s="7" customFormat="1"/>
    <row r="47" spans="1:8" s="7" customFormat="1"/>
    <row r="48" spans="1:8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Вибір</vt:lpstr>
      <vt:lpstr>Мрія</vt:lpstr>
      <vt:lpstr>Перспектива</vt:lpstr>
      <vt:lpstr>Прогрес</vt:lpstr>
      <vt:lpstr>Світанок</vt:lpstr>
      <vt:lpstr>Натхнення</vt:lpstr>
      <vt:lpstr>'101'!Область_печати</vt:lpstr>
      <vt:lpstr>'111'!Область_печати</vt:lpstr>
      <vt:lpstr>'12'!Область_печати</vt:lpstr>
      <vt:lpstr>'18'!Область_печати</vt:lpstr>
      <vt:lpstr>'19'!Область_печати</vt:lpstr>
      <vt:lpstr>'34'!Область_печати</vt:lpstr>
      <vt:lpstr>'4'!Область_печати</vt:lpstr>
      <vt:lpstr>'42'!Область_печати</vt:lpstr>
      <vt:lpstr>'52'!Область_печати</vt:lpstr>
      <vt:lpstr>'53'!Область_печати</vt:lpstr>
      <vt:lpstr>'55'!Область_печати</vt:lpstr>
      <vt:lpstr>'60'!Область_печати</vt:lpstr>
      <vt:lpstr>'63'!Область_печати</vt:lpstr>
      <vt:lpstr>'64'!Область_печати</vt:lpstr>
      <vt:lpstr>'65'!Область_печати</vt:lpstr>
      <vt:lpstr>'77'!Область_печати</vt:lpstr>
      <vt:lpstr>'93'!Область_печати</vt:lpstr>
      <vt:lpstr>'95'!Область_печати</vt:lpstr>
      <vt:lpstr>Вибір!Область_печати</vt:lpstr>
      <vt:lpstr>Мрія!Область_печати</vt:lpstr>
      <vt:lpstr>Натхнення!Область_печати</vt:lpstr>
      <vt:lpstr>Перспектива!Область_печати</vt:lpstr>
      <vt:lpstr>Прогрес!Область_печати</vt:lpstr>
      <vt:lpstr>Світанок!Область_печати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2023-04-03T14:53:14Z</cp:lastPrinted>
  <dcterms:created xsi:type="dcterms:W3CDTF">2018-06-18T10:20:14Z</dcterms:created>
  <dcterms:modified xsi:type="dcterms:W3CDTF">2023-12-29T10:11:02Z</dcterms:modified>
</cp:coreProperties>
</file>